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330" yWindow="65296" windowWidth="12930" windowHeight="12555" tabRatio="800" activeTab="0"/>
  </bookViews>
  <sheets>
    <sheet name="аналіз фінансування 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 '!$3:$5</definedName>
  </definedNames>
  <calcPr fullCalcOnLoad="1"/>
</workbook>
</file>

<file path=xl/sharedStrings.xml><?xml version="1.0" encoding="utf-8"?>
<sst xmlns="http://schemas.openxmlformats.org/spreadsheetml/2006/main" count="168" uniqueCount="113">
  <si>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</si>
  <si>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</si>
  <si>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</si>
  <si>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</si>
  <si>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</si>
  <si>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</si>
  <si>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</si>
  <si>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</si>
  <si>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</si>
  <si>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</si>
  <si>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</si>
  <si>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</si>
  <si>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</si>
  <si>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</si>
  <si>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</si>
  <si>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</si>
  <si>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</si>
  <si>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</si>
  <si>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</si>
  <si>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</si>
  <si>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</si>
  <si>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</si>
  <si>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</si>
  <si>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</si>
  <si>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</si>
  <si>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</si>
  <si>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</si>
  <si>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</si>
  <si>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</si>
  <si>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</si>
  <si>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</si>
  <si>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</si>
  <si>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</si>
  <si>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</si>
  <si>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</si>
  <si>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</si>
  <si>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</si>
  <si>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</si>
  <si>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</si>
  <si>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</si>
  <si>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</si>
  <si>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</si>
  <si>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</si>
  <si>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</si>
  <si>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</si>
  <si>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</si>
  <si>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</si>
  <si>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</si>
  <si>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</si>
  <si>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</si>
  <si>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</si>
  <si>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</si>
  <si>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Програма підвищення енергоефективності та зменшення споживання енергоресурсів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</si>
  <si>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</si>
  <si>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</si>
  <si>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</si>
  <si>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</si>
  <si>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</si>
  <si>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</si>
  <si>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</si>
  <si>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</si>
  <si>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</si>
  <si>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</si>
  <si>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</si>
  <si>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</si>
  <si>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</si>
  <si>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</si>
  <si>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</si>
  <si>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</si>
  <si>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</si>
  <si>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</si>
  <si>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</si>
  <si>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</si>
  <si>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</si>
  <si>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</si>
  <si>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</si>
  <si>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</si>
  <si>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</si>
  <si>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</si>
  <si>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</si>
  <si>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</si>
  <si>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</si>
  <si>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</si>
  <si>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</si>
  <si>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Природоохоронні заходи (200600, 200700)</t>
  </si>
  <si>
    <t>Програма підтримки об'єднань співвласників баготоквартирних будинків ОСББ</t>
  </si>
  <si>
    <t>в т.ч. трансферти населенню</t>
  </si>
  <si>
    <t>Громадський бюджет</t>
  </si>
  <si>
    <t>Підвищення кваліфікації кадрів</t>
  </si>
  <si>
    <t>Програма розвитку земельних відносин</t>
  </si>
  <si>
    <t>Субвенція обласному бюджету (250380)</t>
  </si>
  <si>
    <t>Програма забезпечення правопорядку в м. Черкаси</t>
  </si>
  <si>
    <t>Заходи запобігання і ліквідації НС</t>
  </si>
  <si>
    <t>Міськ.прогр.підтримки громадського транспорту</t>
  </si>
  <si>
    <t>Рятування на водах</t>
  </si>
  <si>
    <t>Дорожній фонд</t>
  </si>
  <si>
    <t>Обслуговування боргу</t>
  </si>
  <si>
    <t>Реверсна дотація</t>
  </si>
  <si>
    <t>Програма впорядкування тимчасових споруд і зовнішньої реклами</t>
  </si>
  <si>
    <t>Програма забезпечення виконання рішень суду</t>
  </si>
  <si>
    <t>Програма розроблення містобудівної документації</t>
  </si>
  <si>
    <t>Програма розроблнння стратегічного плану розвитку м. Черкаси</t>
  </si>
  <si>
    <t>Програма сприяння залученню інвестицій</t>
  </si>
  <si>
    <t>План на рік, тис.грн.</t>
  </si>
  <si>
    <t>Відхилення від плану на рік, тис.грн.</t>
  </si>
  <si>
    <t>Відсоток виконання плану на рік</t>
  </si>
  <si>
    <t>Членські внески до асоціацій ОМС</t>
  </si>
  <si>
    <t>Програма здійсн.зах., що не передб.в бюджеті</t>
  </si>
  <si>
    <t>Обслуговування цінних паперів</t>
  </si>
  <si>
    <t>Відсоток виконання  плану 8 місяців</t>
  </si>
  <si>
    <t>План на 9 місяців тис.грн.</t>
  </si>
  <si>
    <t>Відхилення від  плану 9 місяців, тис.грн.</t>
  </si>
  <si>
    <t>Аналіз використання коштів загального фонду міського бюджету станом на 05.09.2019 року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</si>
</sst>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#\ ##0.0"/>
  </numFmts>
  <fonts count="75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60" fillId="25" borderId="1" applyNumberFormat="0" applyAlignment="0" applyProtection="0"/>
    <xf numFmtId="0" fontId="61" fillId="26" borderId="2" applyNumberFormat="0" applyAlignment="0" applyProtection="0"/>
    <xf numFmtId="0" fontId="62" fillId="26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7" borderId="7" applyNumberFormat="0" applyAlignment="0" applyProtection="0"/>
    <xf numFmtId="0" fontId="68" fillId="0" borderId="0" applyNumberFormat="0" applyFill="0" applyBorder="0" applyAlignment="0" applyProtection="0"/>
    <xf numFmtId="0" fontId="69" fillId="28" borderId="0" applyNumberFormat="0" applyBorder="0" applyAlignment="0" applyProtection="0"/>
    <xf numFmtId="0" fontId="58" fillId="0" borderId="0">
      <alignment/>
      <protection/>
    </xf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4" fillId="31" borderId="0" applyNumberFormat="0" applyBorder="0" applyAlignment="0" applyProtection="0"/>
  </cellStyleXfs>
  <cellXfs count="177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32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5" fillId="32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32" borderId="11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32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32" borderId="15" xfId="0" applyFont="1" applyFill="1" applyBorder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32" borderId="11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wrapText="1"/>
    </xf>
    <xf numFmtId="2" fontId="4" fillId="32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32" borderId="13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/>
    </xf>
    <xf numFmtId="190" fontId="4" fillId="32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32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32" borderId="15" xfId="0" applyNumberFormat="1" applyFont="1" applyFill="1" applyBorder="1" applyAlignment="1">
      <alignment wrapText="1"/>
    </xf>
    <xf numFmtId="190" fontId="4" fillId="32" borderId="15" xfId="0" applyNumberFormat="1" applyFont="1" applyFill="1" applyBorder="1" applyAlignment="1">
      <alignment/>
    </xf>
    <xf numFmtId="190" fontId="4" fillId="32" borderId="14" xfId="0" applyNumberFormat="1" applyFont="1" applyFill="1" applyBorder="1" applyAlignment="1">
      <alignment/>
    </xf>
    <xf numFmtId="190" fontId="4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32" borderId="11" xfId="0" applyNumberFormat="1" applyFont="1" applyFill="1" applyBorder="1" applyAlignment="1">
      <alignment/>
    </xf>
    <xf numFmtId="0" fontId="5" fillId="32" borderId="16" xfId="0" applyFont="1" applyFill="1" applyBorder="1" applyAlignment="1">
      <alignment wrapText="1"/>
    </xf>
    <xf numFmtId="190" fontId="4" fillId="32" borderId="16" xfId="0" applyNumberFormat="1" applyFont="1" applyFill="1" applyBorder="1" applyAlignment="1">
      <alignment/>
    </xf>
    <xf numFmtId="189" fontId="4" fillId="32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2" fillId="0" borderId="12" xfId="0" applyNumberFormat="1" applyFont="1" applyFill="1" applyBorder="1" applyAlignment="1">
      <alignment/>
    </xf>
    <xf numFmtId="189" fontId="12" fillId="0" borderId="10" xfId="0" applyNumberFormat="1" applyFont="1" applyFill="1" applyBorder="1" applyAlignment="1">
      <alignment/>
    </xf>
    <xf numFmtId="0" fontId="12" fillId="0" borderId="12" xfId="0" applyFont="1" applyFill="1" applyBorder="1" applyAlignment="1">
      <alignment horizontal="left" wrapText="1" indent="4"/>
    </xf>
    <xf numFmtId="190" fontId="12" fillId="0" borderId="12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 vertical="center" wrapText="1"/>
    </xf>
    <xf numFmtId="190" fontId="12" fillId="0" borderId="10" xfId="0" applyNumberFormat="1" applyFont="1" applyFill="1" applyBorder="1" applyAlignment="1">
      <alignment/>
    </xf>
    <xf numFmtId="189" fontId="4" fillId="32" borderId="14" xfId="0" applyNumberFormat="1" applyFont="1" applyFill="1" applyBorder="1" applyAlignment="1">
      <alignment/>
    </xf>
    <xf numFmtId="189" fontId="4" fillId="32" borderId="19" xfId="0" applyNumberFormat="1" applyFont="1" applyFill="1" applyBorder="1" applyAlignment="1">
      <alignment/>
    </xf>
    <xf numFmtId="0" fontId="5" fillId="32" borderId="20" xfId="0" applyFont="1" applyFill="1" applyBorder="1" applyAlignment="1">
      <alignment wrapText="1"/>
    </xf>
    <xf numFmtId="189" fontId="4" fillId="32" borderId="15" xfId="0" applyNumberFormat="1" applyFont="1" applyFill="1" applyBorder="1" applyAlignment="1">
      <alignment/>
    </xf>
    <xf numFmtId="190" fontId="4" fillId="32" borderId="21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 horizontal="right"/>
    </xf>
    <xf numFmtId="190" fontId="4" fillId="32" borderId="19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horizontal="right" wrapText="1"/>
    </xf>
    <xf numFmtId="190" fontId="5" fillId="32" borderId="20" xfId="0" applyNumberFormat="1" applyFont="1" applyFill="1" applyBorder="1" applyAlignment="1">
      <alignment horizontal="right" wrapText="1"/>
    </xf>
    <xf numFmtId="0" fontId="11" fillId="33" borderId="0" xfId="0" applyFont="1" applyFill="1" applyAlignment="1">
      <alignment/>
    </xf>
    <xf numFmtId="190" fontId="4" fillId="33" borderId="17" xfId="0" applyNumberFormat="1" applyFont="1" applyFill="1" applyBorder="1" applyAlignment="1">
      <alignment/>
    </xf>
    <xf numFmtId="189" fontId="4" fillId="33" borderId="10" xfId="0" applyNumberFormat="1" applyFont="1" applyFill="1" applyBorder="1" applyAlignment="1">
      <alignment/>
    </xf>
    <xf numFmtId="190" fontId="4" fillId="33" borderId="10" xfId="0" applyNumberFormat="1" applyFont="1" applyFill="1" applyBorder="1" applyAlignment="1">
      <alignment/>
    </xf>
    <xf numFmtId="190" fontId="5" fillId="33" borderId="0" xfId="0" applyNumberFormat="1" applyFont="1" applyFill="1" applyAlignment="1">
      <alignment/>
    </xf>
    <xf numFmtId="0" fontId="3" fillId="33" borderId="12" xfId="0" applyFont="1" applyFill="1" applyBorder="1" applyAlignment="1">
      <alignment wrapText="1"/>
    </xf>
    <xf numFmtId="190" fontId="3" fillId="33" borderId="10" xfId="0" applyNumberFormat="1" applyFont="1" applyFill="1" applyBorder="1" applyAlignment="1">
      <alignment wrapText="1"/>
    </xf>
    <xf numFmtId="190" fontId="3" fillId="33" borderId="10" xfId="0" applyNumberFormat="1" applyFont="1" applyFill="1" applyBorder="1" applyAlignment="1">
      <alignment/>
    </xf>
    <xf numFmtId="190" fontId="3" fillId="33" borderId="17" xfId="0" applyNumberFormat="1" applyFont="1" applyFill="1" applyBorder="1" applyAlignment="1">
      <alignment/>
    </xf>
    <xf numFmtId="189" fontId="3" fillId="33" borderId="10" xfId="0" applyNumberFormat="1" applyFont="1" applyFill="1" applyBorder="1" applyAlignment="1">
      <alignment/>
    </xf>
    <xf numFmtId="190" fontId="5" fillId="33" borderId="10" xfId="0" applyNumberFormat="1" applyFont="1" applyFill="1" applyBorder="1" applyAlignment="1">
      <alignment/>
    </xf>
    <xf numFmtId="190" fontId="5" fillId="33" borderId="17" xfId="0" applyNumberFormat="1" applyFont="1" applyFill="1" applyBorder="1" applyAlignment="1">
      <alignment/>
    </xf>
    <xf numFmtId="189" fontId="5" fillId="33" borderId="1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190" fontId="3" fillId="33" borderId="14" xfId="0" applyNumberFormat="1" applyFont="1" applyFill="1" applyBorder="1" applyAlignment="1">
      <alignment wrapText="1"/>
    </xf>
    <xf numFmtId="190" fontId="3" fillId="33" borderId="14" xfId="0" applyNumberFormat="1" applyFont="1" applyFill="1" applyBorder="1" applyAlignment="1">
      <alignment/>
    </xf>
    <xf numFmtId="189" fontId="3" fillId="33" borderId="14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left" wrapText="1"/>
    </xf>
    <xf numFmtId="0" fontId="3" fillId="33" borderId="16" xfId="0" applyFont="1" applyFill="1" applyBorder="1" applyAlignment="1">
      <alignment wrapText="1"/>
    </xf>
    <xf numFmtId="190" fontId="3" fillId="33" borderId="16" xfId="0" applyNumberFormat="1" applyFont="1" applyFill="1" applyBorder="1" applyAlignment="1">
      <alignment wrapText="1"/>
    </xf>
    <xf numFmtId="189" fontId="3" fillId="33" borderId="16" xfId="0" applyNumberFormat="1" applyFont="1" applyFill="1" applyBorder="1" applyAlignment="1">
      <alignment/>
    </xf>
    <xf numFmtId="190" fontId="3" fillId="33" borderId="16" xfId="0" applyNumberFormat="1" applyFont="1" applyFill="1" applyBorder="1" applyAlignment="1">
      <alignment/>
    </xf>
    <xf numFmtId="190" fontId="3" fillId="33" borderId="12" xfId="0" applyNumberFormat="1" applyFont="1" applyFill="1" applyBorder="1" applyAlignment="1">
      <alignment wrapText="1"/>
    </xf>
    <xf numFmtId="190" fontId="3" fillId="33" borderId="12" xfId="0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0" fontId="3" fillId="33" borderId="22" xfId="0" applyFont="1" applyFill="1" applyBorder="1" applyAlignment="1">
      <alignment wrapText="1"/>
    </xf>
    <xf numFmtId="190" fontId="3" fillId="33" borderId="22" xfId="0" applyNumberFormat="1" applyFont="1" applyFill="1" applyBorder="1" applyAlignment="1">
      <alignment wrapText="1"/>
    </xf>
    <xf numFmtId="190" fontId="3" fillId="33" borderId="23" xfId="0" applyNumberFormat="1" applyFont="1" applyFill="1" applyBorder="1" applyAlignment="1">
      <alignment horizontal="right"/>
    </xf>
    <xf numFmtId="190" fontId="3" fillId="33" borderId="24" xfId="0" applyNumberFormat="1" applyFont="1" applyFill="1" applyBorder="1" applyAlignment="1">
      <alignment/>
    </xf>
    <xf numFmtId="189" fontId="3" fillId="33" borderId="22" xfId="0" applyNumberFormat="1" applyFont="1" applyFill="1" applyBorder="1" applyAlignment="1">
      <alignment/>
    </xf>
    <xf numFmtId="189" fontId="3" fillId="33" borderId="25" xfId="0" applyNumberFormat="1" applyFont="1" applyFill="1" applyBorder="1" applyAlignment="1">
      <alignment/>
    </xf>
    <xf numFmtId="189" fontId="3" fillId="33" borderId="23" xfId="0" applyNumberFormat="1" applyFont="1" applyFill="1" applyBorder="1" applyAlignment="1">
      <alignment/>
    </xf>
    <xf numFmtId="190" fontId="3" fillId="33" borderId="26" xfId="0" applyNumberFormat="1" applyFont="1" applyFill="1" applyBorder="1" applyAlignment="1">
      <alignment/>
    </xf>
    <xf numFmtId="0" fontId="12" fillId="33" borderId="12" xfId="0" applyFont="1" applyFill="1" applyBorder="1" applyAlignment="1">
      <alignment wrapText="1"/>
    </xf>
    <xf numFmtId="190" fontId="12" fillId="33" borderId="10" xfId="0" applyNumberFormat="1" applyFont="1" applyFill="1" applyBorder="1" applyAlignment="1">
      <alignment/>
    </xf>
    <xf numFmtId="189" fontId="12" fillId="33" borderId="10" xfId="0" applyNumberFormat="1" applyFont="1" applyFill="1" applyBorder="1" applyAlignment="1">
      <alignment/>
    </xf>
    <xf numFmtId="190" fontId="3" fillId="33" borderId="0" xfId="0" applyNumberFormat="1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190" fontId="4" fillId="33" borderId="14" xfId="0" applyNumberFormat="1" applyFont="1" applyFill="1" applyBorder="1" applyAlignment="1">
      <alignment/>
    </xf>
    <xf numFmtId="190" fontId="5" fillId="33" borderId="16" xfId="0" applyNumberFormat="1" applyFont="1" applyFill="1" applyBorder="1" applyAlignment="1">
      <alignment/>
    </xf>
    <xf numFmtId="0" fontId="9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0" fillId="33" borderId="0" xfId="0" applyFont="1" applyFill="1" applyAlignment="1">
      <alignment/>
    </xf>
    <xf numFmtId="190" fontId="0" fillId="0" borderId="0" xfId="0" applyNumberFormat="1" applyFont="1" applyFill="1" applyAlignment="1">
      <alignment/>
    </xf>
    <xf numFmtId="190" fontId="0" fillId="0" borderId="10" xfId="0" applyNumberFormat="1" applyFont="1" applyFill="1" applyBorder="1" applyAlignment="1">
      <alignment/>
    </xf>
    <xf numFmtId="0" fontId="0" fillId="0" borderId="0" xfId="54" applyFont="1" applyBorder="1" applyAlignment="1" applyProtection="1">
      <alignment vertical="center" wrapText="1"/>
      <protection/>
    </xf>
    <xf numFmtId="190" fontId="0" fillId="0" borderId="0" xfId="54" applyNumberFormat="1" applyFont="1" applyBorder="1" applyAlignment="1" applyProtection="1">
      <alignment vertical="center" wrapText="1"/>
      <protection/>
    </xf>
    <xf numFmtId="189" fontId="0" fillId="0" borderId="0" xfId="0" applyNumberFormat="1" applyFont="1" applyFill="1" applyAlignment="1">
      <alignment/>
    </xf>
    <xf numFmtId="190" fontId="0" fillId="0" borderId="0" xfId="0" applyNumberFormat="1" applyFont="1" applyFill="1" applyAlignment="1">
      <alignment wrapText="1"/>
    </xf>
    <xf numFmtId="190" fontId="4" fillId="33" borderId="12" xfId="0" applyNumberFormat="1" applyFont="1" applyFill="1" applyBorder="1" applyAlignment="1">
      <alignment/>
    </xf>
    <xf numFmtId="190" fontId="4" fillId="33" borderId="13" xfId="0" applyNumberFormat="1" applyFont="1" applyFill="1" applyBorder="1" applyAlignment="1">
      <alignment vertical="center" wrapText="1"/>
    </xf>
    <xf numFmtId="190" fontId="4" fillId="33" borderId="13" xfId="0" applyNumberFormat="1" applyFont="1" applyFill="1" applyBorder="1" applyAlignment="1">
      <alignment/>
    </xf>
    <xf numFmtId="190" fontId="4" fillId="33" borderId="11" xfId="0" applyNumberFormat="1" applyFont="1" applyFill="1" applyBorder="1" applyAlignment="1">
      <alignment/>
    </xf>
    <xf numFmtId="189" fontId="4" fillId="33" borderId="11" xfId="0" applyNumberFormat="1" applyFont="1" applyFill="1" applyBorder="1" applyAlignment="1">
      <alignment/>
    </xf>
    <xf numFmtId="0" fontId="3" fillId="33" borderId="13" xfId="0" applyFont="1" applyFill="1" applyBorder="1" applyAlignment="1">
      <alignment wrapText="1"/>
    </xf>
    <xf numFmtId="0" fontId="5" fillId="34" borderId="12" xfId="0" applyFont="1" applyFill="1" applyBorder="1" applyAlignment="1">
      <alignment wrapText="1"/>
    </xf>
    <xf numFmtId="0" fontId="5" fillId="33" borderId="12" xfId="0" applyFont="1" applyFill="1" applyBorder="1" applyAlignment="1">
      <alignment wrapText="1"/>
    </xf>
    <xf numFmtId="0" fontId="5" fillId="33" borderId="14" xfId="0" applyFont="1" applyFill="1" applyBorder="1" applyAlignment="1">
      <alignment wrapText="1"/>
    </xf>
    <xf numFmtId="190" fontId="5" fillId="33" borderId="14" xfId="0" applyNumberFormat="1" applyFont="1" applyFill="1" applyBorder="1" applyAlignment="1">
      <alignment wrapText="1"/>
    </xf>
    <xf numFmtId="0" fontId="5" fillId="33" borderId="10" xfId="0" applyFont="1" applyFill="1" applyBorder="1" applyAlignment="1">
      <alignment wrapText="1"/>
    </xf>
    <xf numFmtId="190" fontId="5" fillId="33" borderId="10" xfId="0" applyNumberFormat="1" applyFont="1" applyFill="1" applyBorder="1" applyAlignment="1">
      <alignment wrapText="1"/>
    </xf>
    <xf numFmtId="0" fontId="3" fillId="33" borderId="10" xfId="0" applyFont="1" applyFill="1" applyBorder="1" applyAlignment="1">
      <alignment wrapText="1"/>
    </xf>
    <xf numFmtId="189" fontId="4" fillId="34" borderId="11" xfId="0" applyNumberFormat="1" applyFont="1" applyFill="1" applyBorder="1" applyAlignment="1">
      <alignment/>
    </xf>
    <xf numFmtId="190" fontId="4" fillId="34" borderId="11" xfId="0" applyNumberFormat="1" applyFont="1" applyFill="1" applyBorder="1" applyAlignment="1">
      <alignment/>
    </xf>
    <xf numFmtId="190" fontId="0" fillId="33" borderId="0" xfId="0" applyNumberFormat="1" applyFont="1" applyFill="1" applyAlignment="1">
      <alignment/>
    </xf>
    <xf numFmtId="190" fontId="5" fillId="35" borderId="10" xfId="0" applyNumberFormat="1" applyFont="1" applyFill="1" applyBorder="1" applyAlignment="1">
      <alignment wrapText="1"/>
    </xf>
    <xf numFmtId="190" fontId="3" fillId="0" borderId="10" xfId="0" applyNumberFormat="1" applyFont="1" applyFill="1" applyBorder="1" applyAlignment="1">
      <alignment/>
    </xf>
    <xf numFmtId="190" fontId="5" fillId="0" borderId="12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0" xfId="0" applyNumberFormat="1" applyFont="1" applyFill="1" applyBorder="1" applyAlignment="1">
      <alignment wrapText="1"/>
    </xf>
    <xf numFmtId="190" fontId="3" fillId="35" borderId="12" xfId="0" applyNumberFormat="1" applyFont="1" applyFill="1" applyBorder="1" applyAlignment="1">
      <alignment wrapText="1"/>
    </xf>
    <xf numFmtId="0" fontId="5" fillId="36" borderId="0" xfId="0" applyFont="1" applyFill="1" applyAlignment="1">
      <alignment/>
    </xf>
    <xf numFmtId="0" fontId="5" fillId="35" borderId="10" xfId="0" applyFont="1" applyFill="1" applyBorder="1" applyAlignment="1">
      <alignment wrapText="1"/>
    </xf>
    <xf numFmtId="190" fontId="5" fillId="35" borderId="10" xfId="0" applyNumberFormat="1" applyFont="1" applyFill="1" applyBorder="1" applyAlignment="1">
      <alignment/>
    </xf>
    <xf numFmtId="190" fontId="5" fillId="35" borderId="17" xfId="0" applyNumberFormat="1" applyFont="1" applyFill="1" applyBorder="1" applyAlignment="1">
      <alignment/>
    </xf>
    <xf numFmtId="189" fontId="5" fillId="35" borderId="10" xfId="0" applyNumberFormat="1" applyFont="1" applyFill="1" applyBorder="1" applyAlignment="1">
      <alignment/>
    </xf>
    <xf numFmtId="189" fontId="4" fillId="35" borderId="10" xfId="0" applyNumberFormat="1" applyFont="1" applyFill="1" applyBorder="1" applyAlignment="1">
      <alignment/>
    </xf>
    <xf numFmtId="190" fontId="4" fillId="35" borderId="10" xfId="0" applyNumberFormat="1" applyFont="1" applyFill="1" applyBorder="1" applyAlignment="1">
      <alignment/>
    </xf>
    <xf numFmtId="0" fontId="5" fillId="35" borderId="0" xfId="0" applyFont="1" applyFill="1" applyAlignment="1">
      <alignment/>
    </xf>
    <xf numFmtId="190" fontId="5" fillId="35" borderId="0" xfId="0" applyNumberFormat="1" applyFont="1" applyFill="1" applyAlignment="1">
      <alignment/>
    </xf>
    <xf numFmtId="190" fontId="3" fillId="35" borderId="16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ZV1PIV98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3">
    <dxf>
      <font>
        <color indexed="10"/>
      </font>
    </dxf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08925"/>
          <c:w val="0.853"/>
          <c:h val="0.654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'!$C$92</c:f>
              <c:numCache>
                <c:ptCount val="1"/>
                <c:pt idx="0">
                  <c:v>218180.4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'!$D$92</c:f>
              <c:numCache>
                <c:ptCount val="1"/>
                <c:pt idx="0">
                  <c:v>144505.69999999998</c:v>
                </c:pt>
              </c:numCache>
            </c:numRef>
          </c:val>
          <c:shape val="box"/>
        </c:ser>
        <c:shape val="box"/>
        <c:axId val="1069557"/>
        <c:axId val="9626014"/>
      </c:bar3DChart>
      <c:catAx>
        <c:axId val="10695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9626014"/>
        <c:crosses val="autoZero"/>
        <c:auto val="1"/>
        <c:lblOffset val="100"/>
        <c:tickLblSkip val="1"/>
        <c:noMultiLvlLbl val="0"/>
      </c:catAx>
      <c:valAx>
        <c:axId val="962601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6955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05"/>
          <c:y val="0.9215"/>
          <c:w val="0.2872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0865"/>
          <c:w val="0.8435"/>
          <c:h val="0.719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'!$C$6</c:f>
              <c:numCache>
                <c:ptCount val="1"/>
                <c:pt idx="0">
                  <c:v>922539.7999999999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'!$D$6</c:f>
              <c:numCache>
                <c:ptCount val="1"/>
                <c:pt idx="0">
                  <c:v>582908.3000000002</c:v>
                </c:pt>
              </c:numCache>
            </c:numRef>
          </c:val>
          <c:shape val="box"/>
        </c:ser>
        <c:shape val="box"/>
        <c:axId val="19525263"/>
        <c:axId val="41509640"/>
      </c:bar3DChart>
      <c:catAx>
        <c:axId val="195252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1509640"/>
        <c:crosses val="autoZero"/>
        <c:auto val="1"/>
        <c:lblOffset val="100"/>
        <c:tickLblSkip val="1"/>
        <c:noMultiLvlLbl val="0"/>
      </c:catAx>
      <c:valAx>
        <c:axId val="415096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52526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5"/>
          <c:y val="0.92125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195"/>
          <c:w val="0.9295"/>
          <c:h val="0.673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'!$C$18</c:f>
              <c:numCache>
                <c:ptCount val="1"/>
                <c:pt idx="0">
                  <c:v>415126.1000000001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'!$D$18</c:f>
              <c:numCache>
                <c:ptCount val="1"/>
                <c:pt idx="0">
                  <c:v>264944.53699999995</c:v>
                </c:pt>
              </c:numCache>
            </c:numRef>
          </c:val>
          <c:shape val="box"/>
        </c:ser>
        <c:shape val="box"/>
        <c:axId val="38042441"/>
        <c:axId val="6837650"/>
      </c:bar3DChart>
      <c:catAx>
        <c:axId val="380424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837650"/>
        <c:crosses val="autoZero"/>
        <c:auto val="1"/>
        <c:lblOffset val="100"/>
        <c:tickLblSkip val="1"/>
        <c:noMultiLvlLbl val="0"/>
      </c:catAx>
      <c:valAx>
        <c:axId val="683765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04244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425"/>
          <c:y val="0.916"/>
          <c:w val="0.2697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3525"/>
          <c:w val="0.87025"/>
          <c:h val="0.589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'!$C$33</c:f>
              <c:numCache>
                <c:ptCount val="1"/>
                <c:pt idx="0">
                  <c:v>27234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'!$D$33</c:f>
              <c:numCache>
                <c:ptCount val="1"/>
                <c:pt idx="0">
                  <c:v>16598.399999999998</c:v>
                </c:pt>
              </c:numCache>
            </c:numRef>
          </c:val>
          <c:shape val="box"/>
        </c:ser>
        <c:shape val="box"/>
        <c:axId val="61538851"/>
        <c:axId val="16978748"/>
      </c:bar3DChart>
      <c:catAx>
        <c:axId val="615388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6978748"/>
        <c:crosses val="autoZero"/>
        <c:auto val="1"/>
        <c:lblOffset val="100"/>
        <c:tickLblSkip val="1"/>
        <c:noMultiLvlLbl val="0"/>
      </c:catAx>
      <c:valAx>
        <c:axId val="169787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53885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9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2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03"/>
          <c:w val="0.8635"/>
          <c:h val="0.66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'!$C$52</c:f>
              <c:numCache>
                <c:ptCount val="1"/>
                <c:pt idx="0">
                  <c:v>51832.100000000006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'!$D$52</c:f>
              <c:numCache>
                <c:ptCount val="1"/>
                <c:pt idx="0">
                  <c:v>27929.200000000008</c:v>
                </c:pt>
              </c:numCache>
            </c:numRef>
          </c:val>
          <c:shape val="box"/>
        </c:ser>
        <c:shape val="box"/>
        <c:axId val="18591005"/>
        <c:axId val="33101318"/>
      </c:bar3DChart>
      <c:catAx>
        <c:axId val="185910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3101318"/>
        <c:crosses val="autoZero"/>
        <c:auto val="1"/>
        <c:lblOffset val="100"/>
        <c:tickLblSkip val="2"/>
        <c:noMultiLvlLbl val="0"/>
      </c:catAx>
      <c:valAx>
        <c:axId val="3310131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59100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25"/>
          <c:y val="0.9197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-0.001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09175"/>
          <c:w val="0.8775"/>
          <c:h val="0.688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'!$C$60</c:f>
              <c:numCache>
                <c:ptCount val="1"/>
                <c:pt idx="0">
                  <c:v>8853.9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'!$D$60</c:f>
              <c:numCache>
                <c:ptCount val="1"/>
                <c:pt idx="0">
                  <c:v>7034.599999999998</c:v>
                </c:pt>
              </c:numCache>
            </c:numRef>
          </c:val>
          <c:shape val="box"/>
        </c:ser>
        <c:shape val="box"/>
        <c:axId val="29476407"/>
        <c:axId val="63961072"/>
      </c:bar3DChart>
      <c:catAx>
        <c:axId val="294764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3961072"/>
        <c:crosses val="autoZero"/>
        <c:auto val="1"/>
        <c:lblOffset val="100"/>
        <c:tickLblSkip val="1"/>
        <c:noMultiLvlLbl val="0"/>
      </c:catAx>
      <c:valAx>
        <c:axId val="639610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47640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2125"/>
          <c:y val="0.92275"/>
          <c:w val="0.2952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1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08925"/>
          <c:w val="0.85275"/>
          <c:h val="0.728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'!$C$97</c:f>
              <c:numCache>
                <c:ptCount val="1"/>
                <c:pt idx="0">
                  <c:v>134260.5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'!$D$97</c:f>
              <c:numCache>
                <c:ptCount val="1"/>
                <c:pt idx="0">
                  <c:v>69394.99999999999</c:v>
                </c:pt>
              </c:numCache>
            </c:numRef>
          </c:val>
          <c:shape val="box"/>
        </c:ser>
        <c:shape val="box"/>
        <c:axId val="38778737"/>
        <c:axId val="13464314"/>
      </c:bar3DChart>
      <c:catAx>
        <c:axId val="387787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3464314"/>
        <c:crosses val="autoZero"/>
        <c:auto val="1"/>
        <c:lblOffset val="100"/>
        <c:tickLblSkip val="1"/>
        <c:noMultiLvlLbl val="0"/>
      </c:catAx>
      <c:valAx>
        <c:axId val="1346431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77873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5"/>
          <c:y val="0.92775"/>
          <c:w val="0.29725"/>
          <c:h val="0.05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725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5"/>
          <c:y val="0.13625"/>
          <c:w val="0.85125"/>
          <c:h val="0.585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'аналіз фінансування '!$C$3:$C$5</c:f>
              <c:strCache>
                <c:ptCount val="1"/>
                <c:pt idx="0">
                  <c:v>План на рік, тис.грн.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 '!$A$6,'аналіз фінансування '!$A$18,'аналіз фінансування '!$A$33,'аналіз фінансування '!$A$52,'аналіз фінансування '!$A$60,'аналіз фінансування '!$A$92,'аналіз фінансування '!$A$97)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 '!$C$6,'аналіз фінансування '!$C$18,'аналіз фінансування '!$C$33,'аналіз фінансування '!$C$52,'аналіз фінансування '!$C$60,'аналіз фінансування '!$C$92,'аналіз фінансування '!$C$97)</c:f>
              <c:numCache>
                <c:ptCount val="7"/>
                <c:pt idx="0">
                  <c:v>922539.7999999999</c:v>
                </c:pt>
                <c:pt idx="1">
                  <c:v>415126.1000000001</c:v>
                </c:pt>
                <c:pt idx="2">
                  <c:v>27234</c:v>
                </c:pt>
                <c:pt idx="3">
                  <c:v>51832.100000000006</c:v>
                </c:pt>
                <c:pt idx="4">
                  <c:v>8853.9</c:v>
                </c:pt>
                <c:pt idx="5">
                  <c:v>218180.4</c:v>
                </c:pt>
                <c:pt idx="6">
                  <c:v>134260.5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'аналіз фінансування '!$D$3:$D$5</c:f>
              <c:strCache>
                <c:ptCount val="1"/>
                <c:pt idx="0">
                  <c:v>Факт, тис.грн.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 '!$A$6,'аналіз фінансування '!$A$18,'аналіз фінансування '!$A$33,'аналіз фінансування '!$A$52,'аналіз фінансування '!$A$60,'аналіз фінансування '!$A$92,'аналіз фінансування '!$A$97)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 '!$D$6,'аналіз фінансування '!$D$18,'аналіз фінансування '!$D$33,'аналіз фінансування '!$D$52,'аналіз фінансування '!$D$60,'аналіз фінансування '!$D$92,'аналіз фінансування '!$D$97)</c:f>
              <c:numCache>
                <c:ptCount val="7"/>
                <c:pt idx="0">
                  <c:v>582908.3000000002</c:v>
                </c:pt>
                <c:pt idx="1">
                  <c:v>264944.53699999995</c:v>
                </c:pt>
                <c:pt idx="2">
                  <c:v>16598.399999999998</c:v>
                </c:pt>
                <c:pt idx="3">
                  <c:v>27929.200000000008</c:v>
                </c:pt>
                <c:pt idx="4">
                  <c:v>7034.599999999998</c:v>
                </c:pt>
                <c:pt idx="5">
                  <c:v>144505.69999999998</c:v>
                </c:pt>
                <c:pt idx="6">
                  <c:v>69394.99999999999</c:v>
                </c:pt>
              </c:numCache>
            </c:numRef>
          </c:val>
          <c:shape val="box"/>
        </c:ser>
        <c:shape val="box"/>
        <c:axId val="54069963"/>
        <c:axId val="16867620"/>
      </c:bar3DChart>
      <c:catAx>
        <c:axId val="540699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6867620"/>
        <c:crosses val="autoZero"/>
        <c:auto val="1"/>
        <c:lblOffset val="100"/>
        <c:tickLblSkip val="1"/>
        <c:noMultiLvlLbl val="0"/>
      </c:catAx>
      <c:valAx>
        <c:axId val="168676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06996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55"/>
          <c:y val="0.8725"/>
          <c:w val="0.23075"/>
          <c:h val="0.1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175"/>
          <c:y val="-0.003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"/>
          <c:y val="0.27975"/>
          <c:w val="0.84125"/>
          <c:h val="0.49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'аналіз фінансування '!$C$3:$C$5</c:f>
              <c:strCache>
                <c:ptCount val="1"/>
                <c:pt idx="0">
                  <c:v>План на рік, тис.грн.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 '!$A$157:$A$162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 '!$C$157:$C$162</c:f>
              <c:numCache>
                <c:ptCount val="6"/>
                <c:pt idx="0">
                  <c:v>996750.1</c:v>
                </c:pt>
                <c:pt idx="1">
                  <c:v>125285.7</c:v>
                </c:pt>
                <c:pt idx="2">
                  <c:v>47947.700000000004</c:v>
                </c:pt>
                <c:pt idx="3">
                  <c:v>87271.40000000002</c:v>
                </c:pt>
                <c:pt idx="4">
                  <c:v>122.9</c:v>
                </c:pt>
                <c:pt idx="5">
                  <c:v>1250604.9000000004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'аналіз фінансування '!$D$3:$D$5</c:f>
              <c:strCache>
                <c:ptCount val="1"/>
                <c:pt idx="0">
                  <c:v>Факт, тис.грн.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 '!$A$157:$A$162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 '!$D$157:$D$162</c:f>
              <c:numCache>
                <c:ptCount val="6"/>
                <c:pt idx="0">
                  <c:v>660018.9000000001</c:v>
                </c:pt>
                <c:pt idx="1">
                  <c:v>64837.49999999996</c:v>
                </c:pt>
                <c:pt idx="2">
                  <c:v>28708.5</c:v>
                </c:pt>
                <c:pt idx="3">
                  <c:v>53641.460000000014</c:v>
                </c:pt>
                <c:pt idx="4">
                  <c:v>38.49999999999999</c:v>
                </c:pt>
                <c:pt idx="5">
                  <c:v>786688.8967900001</c:v>
                </c:pt>
              </c:numCache>
            </c:numRef>
          </c:val>
          <c:shape val="box"/>
        </c:ser>
        <c:shape val="box"/>
        <c:axId val="17590853"/>
        <c:axId val="24099950"/>
      </c:bar3DChart>
      <c:catAx>
        <c:axId val="175908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4099950"/>
        <c:crosses val="autoZero"/>
        <c:auto val="1"/>
        <c:lblOffset val="100"/>
        <c:tickLblSkip val="1"/>
        <c:noMultiLvlLbl val="0"/>
      </c:catAx>
      <c:valAx>
        <c:axId val="2409995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59085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96"/>
          <c:y val="0.91075"/>
          <c:w val="0.504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19050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19050"/>
        <a:ext cx="9963150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57150" y="66675"/>
        <a:ext cx="11572875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19050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19050"/>
        <a:ext cx="10296525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57150" y="38100"/>
        <a:ext cx="1022032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4</xdr:row>
      <xdr:rowOff>19050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85875" y="666750"/>
        <a:ext cx="8601075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16</xdr:col>
      <xdr:colOff>619125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1858625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57150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109662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1"/>
  <sheetViews>
    <sheetView tabSelected="1" view="pageBreakPreview" zoomScale="70" zoomScaleNormal="80" zoomScaleSheetLayoutView="70" workbookViewId="0" topLeftCell="A1">
      <pane xSplit="1" ySplit="5" topLeftCell="B138" activePane="bottomRight" state="frozen"/>
      <selection pane="topLeft" activeCell="A1" sqref="A1"/>
      <selection pane="topRight" activeCell="B1" sqref="B1"/>
      <selection pane="bottomLeft" activeCell="A6" sqref="A6"/>
      <selection pane="bottomRight" activeCell="H151" sqref="H151"/>
    </sheetView>
  </sheetViews>
  <sheetFormatPr defaultColWidth="9.00390625" defaultRowHeight="12.75"/>
  <cols>
    <col min="1" max="1" width="66.875" style="122" customWidth="1"/>
    <col min="2" max="2" width="19.00390625" style="122" customWidth="1"/>
    <col min="3" max="3" width="18.75390625" style="123" customWidth="1"/>
    <col min="4" max="4" width="19.00390625" style="123" customWidth="1"/>
    <col min="5" max="5" width="17.25390625" style="123" customWidth="1"/>
    <col min="6" max="7" width="19.375" style="123" customWidth="1"/>
    <col min="8" max="8" width="19.75390625" style="123" customWidth="1"/>
    <col min="9" max="9" width="21.00390625" style="123" customWidth="1"/>
    <col min="10" max="10" width="9.125" style="123" customWidth="1"/>
    <col min="11" max="11" width="15.375" style="123" customWidth="1"/>
    <col min="12" max="12" width="13.625" style="123" customWidth="1"/>
    <col min="13" max="13" width="11.375" style="123" bestFit="1" customWidth="1"/>
    <col min="14" max="16384" width="9.125" style="123" customWidth="1"/>
  </cols>
  <sheetData>
    <row r="1" spans="1:9" ht="30">
      <c r="A1" s="167" t="s">
        <v>112</v>
      </c>
      <c r="B1" s="167"/>
      <c r="C1" s="167"/>
      <c r="D1" s="167"/>
      <c r="E1" s="167"/>
      <c r="F1" s="167"/>
      <c r="G1" s="167"/>
      <c r="H1" s="167"/>
      <c r="I1" s="167"/>
    </row>
    <row r="2" spans="1:8" ht="9.75" customHeight="1" thickBot="1">
      <c r="A2" s="17"/>
      <c r="B2" s="17"/>
      <c r="C2" s="10"/>
      <c r="D2" s="10"/>
      <c r="E2" s="10"/>
      <c r="F2" s="10"/>
      <c r="G2" s="10"/>
      <c r="H2" s="10"/>
    </row>
    <row r="3" spans="1:9" ht="29.25" customHeight="1">
      <c r="A3" s="168" t="s">
        <v>38</v>
      </c>
      <c r="B3" s="171" t="s">
        <v>110</v>
      </c>
      <c r="C3" s="174" t="s">
        <v>103</v>
      </c>
      <c r="D3" s="174" t="s">
        <v>20</v>
      </c>
      <c r="E3" s="174" t="s">
        <v>19</v>
      </c>
      <c r="F3" s="174" t="s">
        <v>109</v>
      </c>
      <c r="G3" s="174" t="s">
        <v>105</v>
      </c>
      <c r="H3" s="174" t="s">
        <v>111</v>
      </c>
      <c r="I3" s="174" t="s">
        <v>104</v>
      </c>
    </row>
    <row r="4" spans="1:9" ht="24.75" customHeight="1">
      <c r="A4" s="169"/>
      <c r="B4" s="172"/>
      <c r="C4" s="175"/>
      <c r="D4" s="175"/>
      <c r="E4" s="175"/>
      <c r="F4" s="175"/>
      <c r="G4" s="175"/>
      <c r="H4" s="175"/>
      <c r="I4" s="175"/>
    </row>
    <row r="5" spans="1:10" ht="39" customHeight="1" thickBot="1">
      <c r="A5" s="170"/>
      <c r="B5" s="173"/>
      <c r="C5" s="176"/>
      <c r="D5" s="176"/>
      <c r="E5" s="176"/>
      <c r="F5" s="176"/>
      <c r="G5" s="176"/>
      <c r="H5" s="176"/>
      <c r="I5" s="176"/>
      <c r="J5" s="128"/>
    </row>
    <row r="6" spans="1:12" ht="18.75" thickBot="1">
      <c r="A6" s="18" t="s">
        <v>24</v>
      </c>
      <c r="B6" s="34">
        <f>688487.6+135+30.3</f>
        <v>688652.9</v>
      </c>
      <c r="C6" s="35">
        <f>913995.7+3.2+21.3+6054.6-0.1+7.6+51.9+2.3+1801.7+431.6+35+135</f>
        <v>922539.7999999999</v>
      </c>
      <c r="D6" s="36">
        <f>11099.2+9623.1+1.9+134.7+531.1+44.4+1464.8+43.3+356.7+16648.5+1044.7+22.2+15069.2+2403.3+273.5+220.6+39.4+2669.9+423.4+804.7+85+14514.4+10510.2+446+2528.1+222.7+0.8+3854.8+741.1+3541.7+24275+12398.6+1128.8-92.4+0.2+60.7+1437.6+1886+1381.2+24452.9+2976.1+3278.2+2126+3292.8+2453.5+875.9+807.5+2786.6+647.3+12514+23039.2+298.2-6.2+629.5+733.5+255.6+2756.8+628.6+8.7+2675.8+1146.4+15913.4+10597.9+989.9+15.5+1558+1305.3+494.8+1064+1049.8+22080.9+12396.7+93+16.1+53.8+1260.1+406.8+252.6-0.7+2133.3+13730.5+10532.6+1117.8+436+409.4+572.5+924.7+143.2+762.1+701+75.3+1449.6+1.5+26550.1+25726.8+14.9+2302.2+188.2+499+1591.3+567.9+115.1+18723.3+4498.4+41728.4+849.5+425.1+621.1+23.4+130.9+1148.2+15957.3+10871.6+22012.8+800.8+1283.3+847.7+4031.4+64.1+956.3+88.2+636.8+447.5+21.9+5.4+5305.9+671.5+4657.2+609.8+171.5+5+396+511.7+37+88.3+0.2+292.1+11209.7+764+1.9+75.1-5.3+32.8+2+270.5+114.3+353.9+464.1+121.8+118.4+8521.6+2964.3+439.8+85.9+464.2+188.6+56.8+478.9+24.5+727.8+15496+9928.2+63-121.7+44.9+4.5+0.3+47.9+57+37+647.1</f>
        <v>582908.3000000002</v>
      </c>
      <c r="E6" s="3">
        <f>D6/D156*100</f>
        <v>36.57042192104085</v>
      </c>
      <c r="F6" s="3">
        <f>D6/B6*100</f>
        <v>84.64471724434765</v>
      </c>
      <c r="G6" s="3">
        <f aca="true" t="shared" si="0" ref="G6:G43">D6/C6*100</f>
        <v>63.18516556142079</v>
      </c>
      <c r="H6" s="36">
        <f aca="true" t="shared" si="1" ref="H6:H12">B6-D6</f>
        <v>105744.59999999986</v>
      </c>
      <c r="I6" s="36">
        <f aca="true" t="shared" si="2" ref="I6:I43">C6-D6</f>
        <v>339631.49999999977</v>
      </c>
      <c r="J6" s="128"/>
      <c r="L6" s="129">
        <f>H6-H7</f>
        <v>78611.79999999987</v>
      </c>
    </row>
    <row r="7" spans="1:9" s="83" customFormat="1" ht="18.75">
      <c r="A7" s="118" t="s">
        <v>79</v>
      </c>
      <c r="B7" s="69">
        <v>229640.1</v>
      </c>
      <c r="C7" s="66">
        <f>298956.2+3.2</f>
        <v>298959.4</v>
      </c>
      <c r="D7" s="71">
        <f>12060.7+9623.1+1044.7+273.5+10510.2+12398.6+40.7+10550.7+12514+8.7+10597.9+12396.7+14.3-11.2+14.3+10532.6+25726.8+2302.2+41728.4+13.4+10871.6+847.7+4031.4+88.2+671.5+0.1+764+2964.3+9928.2</f>
        <v>202507.30000000002</v>
      </c>
      <c r="E7" s="120">
        <f>D7/D6*100</f>
        <v>34.74085031899528</v>
      </c>
      <c r="F7" s="120">
        <f>D7/B7*100</f>
        <v>88.18464196801867</v>
      </c>
      <c r="G7" s="120">
        <f>D7/C7*100</f>
        <v>67.73739176623982</v>
      </c>
      <c r="H7" s="119">
        <f t="shared" si="1"/>
        <v>27132.79999999999</v>
      </c>
      <c r="I7" s="119">
        <f t="shared" si="2"/>
        <v>96452.1</v>
      </c>
    </row>
    <row r="8" spans="1:9" s="128" customFormat="1" ht="18">
      <c r="A8" s="88" t="s">
        <v>3</v>
      </c>
      <c r="B8" s="31">
        <v>554794</v>
      </c>
      <c r="C8" s="32">
        <f>726684.4+3.2+2754.6+431.6</f>
        <v>729873.7999999999</v>
      </c>
      <c r="D8" s="33">
        <f>20722.3+1.9+16592.9+1044.7+15069.2+2403.3+273.5+14243.2+10510.2+12398.6+19789.8+60.7+23573.1+21765.1+12514+5.3+4.8+8.7+13704.4+10597.9+33709.4+39.5+14.3+10532.6+12547.2+25798.9+25726.8+2302.2+162.1+18657.4+41728.4+3346.3+13.4+4.5+10871.6+15709.6+21507.2+1107.9+847.7+4031.4+88.2+42.4+5282.4+671.5+4513.4+0.1+9.2+764+10958.3+75.1-5.3+5.3+26.6-0.1+7961.1+2964.3+2.9+9928.2+15219.3+47.9+57</f>
        <v>482553.8000000001</v>
      </c>
      <c r="E8" s="92">
        <f>D8/D6*100</f>
        <v>82.78382723320289</v>
      </c>
      <c r="F8" s="92">
        <f>D8/B8*100</f>
        <v>86.97891469626566</v>
      </c>
      <c r="G8" s="92">
        <f t="shared" si="0"/>
        <v>66.11468996421027</v>
      </c>
      <c r="H8" s="90">
        <f t="shared" si="1"/>
        <v>72240.1999999999</v>
      </c>
      <c r="I8" s="90">
        <f t="shared" si="2"/>
        <v>247319.99999999983</v>
      </c>
    </row>
    <row r="9" spans="1:9" s="128" customFormat="1" ht="18">
      <c r="A9" s="88" t="s">
        <v>2</v>
      </c>
      <c r="B9" s="31">
        <v>74</v>
      </c>
      <c r="C9" s="32">
        <v>104.9</v>
      </c>
      <c r="D9" s="33">
        <f>16.3+0.9+0.3+8.7+9.7+0.3+0.4+0.4+0.1+0.5</f>
        <v>37.599999999999994</v>
      </c>
      <c r="E9" s="109">
        <f>D9/D6*100</f>
        <v>0.006450414241828429</v>
      </c>
      <c r="F9" s="92">
        <f>D9/B9*100</f>
        <v>50.8108108108108</v>
      </c>
      <c r="G9" s="92">
        <f t="shared" si="0"/>
        <v>35.84366062917063</v>
      </c>
      <c r="H9" s="90">
        <f t="shared" si="1"/>
        <v>36.400000000000006</v>
      </c>
      <c r="I9" s="90">
        <f t="shared" si="2"/>
        <v>67.30000000000001</v>
      </c>
    </row>
    <row r="10" spans="1:9" s="128" customFormat="1" ht="18">
      <c r="A10" s="88" t="s">
        <v>1</v>
      </c>
      <c r="B10" s="31">
        <f>32698.8+85</f>
        <v>32783.8</v>
      </c>
      <c r="C10" s="32">
        <v>43439.8</v>
      </c>
      <c r="D10" s="152">
        <f>525.8+44.4+601.2+43.3+356.4+55.6+22.2+1183.8+262+357.1+64+47.5+133.7+449.5+46.4+224.9+741.1+480.4+382.5-93.5+0.2+240.3+427.1+446.9+102.1+46+154.6+766.9+945+400+1+1121.4+59+682.9+18.7+363.3+73.4+41.9+403.7+10.1+702.9+518+32.3+798.8+479.5+841.8+9.7+390.5+203.2+283.8+14.7+708.9+214.1+98-0.1+840.2+413+34.3+314.6+100.4+456.8+441.7+0.1+78.1+348.9+2.2+951.6+1.2+34.1-0.2+1.7+334.9+507.1+37.5+42.2+615.4+261.9+63.6+420+11.8+62.7+271.9+339.3+1.2+0.2+23.1+10+147.3+70.5+98.6+30.1+82.9-0.2+2.1+2.7+199.7+0.1+35.4+373.2+108.8+246.5+178.4+81.5+320.1</f>
        <v>26528.1</v>
      </c>
      <c r="E10" s="92">
        <f>D10/D6*100</f>
        <v>4.550990267251296</v>
      </c>
      <c r="F10" s="92">
        <f aca="true" t="shared" si="3" ref="F10:F41">D10/B10*100</f>
        <v>80.91831941385684</v>
      </c>
      <c r="G10" s="92">
        <f t="shared" si="0"/>
        <v>61.06865132896559</v>
      </c>
      <c r="H10" s="90">
        <f t="shared" si="1"/>
        <v>6255.700000000004</v>
      </c>
      <c r="I10" s="90">
        <f t="shared" si="2"/>
        <v>16911.700000000004</v>
      </c>
    </row>
    <row r="11" spans="1:9" s="128" customFormat="1" ht="18">
      <c r="A11" s="88" t="s">
        <v>0</v>
      </c>
      <c r="B11" s="31">
        <v>61978.5</v>
      </c>
      <c r="C11" s="32">
        <f>98224.3+33+0.3+15</f>
        <v>98272.6</v>
      </c>
      <c r="D11" s="37">
        <f>39.4+1482.5+161.1+446.7+223.7+143.2+2067.6+42+0.7+3077.2+2292.1+4098.5+884.8+1.1+688.8+1267.7+920.8+531.8+2870.4+2522+1076.6+267.2+3290.1+1467.5+255.7+697.1+813.5+565.4+107.9+63.1-5.9+65.1+547.6+206.2+1957.7+517+1972.2+544.3+1550.3+130.4+1057.3+163.5+114.1+1.2+287.7+262.4+79.6+2+0.6+499.3+189+105.9-1+924.1+743.1+713.2+2.5+274+68.8+344.9+81.5+43.7+7.6+232.5+455.8+0.7+0.6+26.1+153.5+791.4+33.6+60.7+1.7+401.1+68.1+24.8+4.6+1+8+29.5+15+11.6+51.3+0.3-0.1+114.6+64.1+132.3+525.1+375.5+21.9+9+29.3+19.6+2.4+18.2+18.7+0.5+0.2+37.3+61.1+0.1+27.5+1.1+229.4+24.7+62.2+30.6-1.5+13.6+174.1+44.5+28+15.9+0.6+3.7+0.6+2.5+0.3+36.3+4.5+22.3+257.6</f>
        <v>50596.29999999997</v>
      </c>
      <c r="E11" s="92">
        <f>D11/D6*100</f>
        <v>8.679975907016585</v>
      </c>
      <c r="F11" s="92">
        <f t="shared" si="3"/>
        <v>81.63524447994057</v>
      </c>
      <c r="G11" s="92">
        <f t="shared" si="0"/>
        <v>51.48566334868515</v>
      </c>
      <c r="H11" s="90">
        <f t="shared" si="1"/>
        <v>11382.200000000033</v>
      </c>
      <c r="I11" s="90">
        <f t="shared" si="2"/>
        <v>47676.30000000004</v>
      </c>
    </row>
    <row r="12" spans="1:9" s="128" customFormat="1" ht="18">
      <c r="A12" s="88" t="s">
        <v>12</v>
      </c>
      <c r="B12" s="31">
        <v>9619.4</v>
      </c>
      <c r="C12" s="32">
        <f>13016.5-27.3-2+2.3</f>
        <v>12989.5</v>
      </c>
      <c r="D12" s="33">
        <f>134.7+863.6+21+169+134.3+503.1+242.3+376.7+419.7+11.5+196.3+194.7+350.5+128.8+306+205.9+21+475.1+46.1+265+1+11.5+502+21+253.6+228.1+113.2+114.8+47.7+65.2+24.1+347.4-0.1+12+0.1+64.7+236.2+116+84.5+60.2</f>
        <v>7368.5</v>
      </c>
      <c r="E12" s="92">
        <f>D12/D6*100</f>
        <v>1.2640924824710849</v>
      </c>
      <c r="F12" s="92">
        <f t="shared" si="3"/>
        <v>76.6004116680874</v>
      </c>
      <c r="G12" s="92">
        <f t="shared" si="0"/>
        <v>56.72658685861658</v>
      </c>
      <c r="H12" s="90">
        <f t="shared" si="1"/>
        <v>2250.8999999999996</v>
      </c>
      <c r="I12" s="90">
        <f t="shared" si="2"/>
        <v>5621</v>
      </c>
    </row>
    <row r="13" spans="1:9" s="128" customFormat="1" ht="18.75" thickBot="1">
      <c r="A13" s="88" t="s">
        <v>25</v>
      </c>
      <c r="B13" s="32">
        <f>B6-B8-B9-B10-B11-B12</f>
        <v>29403.20000000002</v>
      </c>
      <c r="C13" s="32">
        <f>C6-C8-C9-C10-C11-C12</f>
        <v>37859.19999999998</v>
      </c>
      <c r="D13" s="32">
        <f>D6-D8-D9-D10-D11-D12</f>
        <v>15824.00000000008</v>
      </c>
      <c r="E13" s="92">
        <f>D13/D6*100</f>
        <v>2.714663695816319</v>
      </c>
      <c r="F13" s="92">
        <f t="shared" si="3"/>
        <v>53.81727158948709</v>
      </c>
      <c r="G13" s="92">
        <f t="shared" si="0"/>
        <v>41.796974051221596</v>
      </c>
      <c r="H13" s="90">
        <f aca="true" t="shared" si="4" ref="H13:H44">B13-D13</f>
        <v>13579.199999999939</v>
      </c>
      <c r="I13" s="90">
        <f t="shared" si="2"/>
        <v>22035.199999999903</v>
      </c>
    </row>
    <row r="14" spans="1:10" s="29" customFormat="1" ht="18.75" customHeight="1" hidden="1">
      <c r="A14" s="68" t="s">
        <v>59</v>
      </c>
      <c r="B14" s="66"/>
      <c r="C14" s="66"/>
      <c r="D14" s="66"/>
      <c r="E14" s="67"/>
      <c r="F14" s="67" t="e">
        <f>D14/B14*100</f>
        <v>#DIV/0!</v>
      </c>
      <c r="G14" s="67" t="e">
        <f>D14/C14*100</f>
        <v>#DIV/0!</v>
      </c>
      <c r="H14" s="90">
        <f t="shared" si="4"/>
        <v>0</v>
      </c>
      <c r="I14" s="71">
        <f>C14-D14</f>
        <v>0</v>
      </c>
      <c r="J14" s="83"/>
    </row>
    <row r="15" spans="1:10" s="29" customFormat="1" ht="18.75" customHeight="1" hidden="1">
      <c r="A15" s="68" t="s">
        <v>56</v>
      </c>
      <c r="B15" s="66"/>
      <c r="C15" s="66"/>
      <c r="D15" s="66"/>
      <c r="E15" s="67"/>
      <c r="F15" s="67" t="e">
        <f>D15/B15*100</f>
        <v>#DIV/0!</v>
      </c>
      <c r="G15" s="67" t="e">
        <f>D15/C15*100</f>
        <v>#DIV/0!</v>
      </c>
      <c r="H15" s="90">
        <f t="shared" si="4"/>
        <v>0</v>
      </c>
      <c r="I15" s="71">
        <f>C15-D15</f>
        <v>0</v>
      </c>
      <c r="J15" s="83"/>
    </row>
    <row r="16" spans="1:10" s="29" customFormat="1" ht="19.5" hidden="1" thickBot="1">
      <c r="A16" s="68" t="s">
        <v>57</v>
      </c>
      <c r="B16" s="66"/>
      <c r="C16" s="66"/>
      <c r="D16" s="66"/>
      <c r="E16" s="67"/>
      <c r="F16" s="67" t="e">
        <f>D16/B16*100</f>
        <v>#DIV/0!</v>
      </c>
      <c r="G16" s="67" t="e">
        <f>D16/C16*100</f>
        <v>#DIV/0!</v>
      </c>
      <c r="H16" s="90">
        <f t="shared" si="4"/>
        <v>0</v>
      </c>
      <c r="I16" s="71">
        <f>C16-D16</f>
        <v>0</v>
      </c>
      <c r="J16" s="83"/>
    </row>
    <row r="17" spans="1:10" s="29" customFormat="1" ht="19.5" hidden="1" thickBot="1">
      <c r="A17" s="68" t="s">
        <v>58</v>
      </c>
      <c r="B17" s="66"/>
      <c r="C17" s="66"/>
      <c r="D17" s="66"/>
      <c r="E17" s="67"/>
      <c r="F17" s="67" t="e">
        <f>D17/B17*100</f>
        <v>#DIV/0!</v>
      </c>
      <c r="G17" s="67" t="e">
        <f>D17/C17*100</f>
        <v>#DIV/0!</v>
      </c>
      <c r="H17" s="90">
        <f t="shared" si="4"/>
        <v>0</v>
      </c>
      <c r="I17" s="71">
        <f>C17-D17</f>
        <v>0</v>
      </c>
      <c r="J17" s="83"/>
    </row>
    <row r="18" spans="1:12" ht="18.75" thickBot="1">
      <c r="A18" s="18" t="s">
        <v>17</v>
      </c>
      <c r="B18" s="34">
        <f>314033.4-612.8-791.7+350.9</f>
        <v>312979.80000000005</v>
      </c>
      <c r="C18" s="35">
        <f>417020.2+71.9+897.7-0.1-33.9+680.4+0.2-180-612.8-3068.4+350.9</f>
        <v>415126.1000000001</v>
      </c>
      <c r="D18" s="36">
        <f>9880.4+236.6+6978.3+6921+371.7+499.9+9964.9+4030.7+430.2+29.9+505.9+258.6+9247.5+5793.8+177.6-0.3+50.4+1560.6+365+404.1+10080.2+6002.3+983.7+0.2+102.6+170.9+1929.3+5928.2+3314.6+5249.2+585.3+84+49.3-3.6-0.1+112+0.7+344.2+2929.9+1165.4+743.9+679.4+7774.7+2133.2+898.2+803.2+71.5+33.9+3441.8+1127+11820.4+4421.6+307.4+1844.4+66+205.9+78.6+193.8+117.9+150.5+0.9+1572.9+369.6+737.8+7895.9+2034.2+100.3+0.9+1120.8+1222.4+4+8.9+180.1+515.8+1219.3+11997.9+4043.1+0.1+124.1+88.2+2844.637+2.5+781.8+7929.5+2777.4+2069.6+0.4+7.6+55.2+549.6+6132.1+3997.5+7281+1150+954.5+699.4+0.9+64.6+1017.2+6668.8+996.5+3982.6+65.4+153.4+595.6+38.8+31.9-0.1+9076.7+4026.8+3514.7+46.2+183.1+37.2+4.7+92.3+1.1+222.7+454.5+924.7+0.1+4+304.2+10179.7+920.9+874+33.9+4.7+51.8+8765.4+4749.4+2352.3+246.8+14.8+123.4+0.5</f>
        <v>264944.53699999995</v>
      </c>
      <c r="E18" s="3">
        <f>D18/D156*100</f>
        <v>16.62205445310148</v>
      </c>
      <c r="F18" s="3">
        <f>D18/B18*100</f>
        <v>84.65228011520229</v>
      </c>
      <c r="G18" s="3">
        <f t="shared" si="0"/>
        <v>63.822664245876105</v>
      </c>
      <c r="H18" s="149">
        <f t="shared" si="4"/>
        <v>48035.26300000009</v>
      </c>
      <c r="I18" s="36">
        <f t="shared" si="2"/>
        <v>150181.56300000014</v>
      </c>
      <c r="J18" s="128"/>
      <c r="L18" s="129">
        <f>H18-H19</f>
        <v>30929.000000000087</v>
      </c>
    </row>
    <row r="19" spans="1:9" s="83" customFormat="1" ht="18.75">
      <c r="A19" s="118" t="s">
        <v>80</v>
      </c>
      <c r="B19" s="69">
        <v>153942.3</v>
      </c>
      <c r="C19" s="66">
        <f>204458.2+897.7+0.2</f>
        <v>205356.10000000003</v>
      </c>
      <c r="D19" s="71">
        <f>9880.4+236.6+6921+499.9+9964.9+430.2+258.6+5793.8+50.4+1023.5+21.4+9702.8+983.7+1447.3+3314.6+585.3+0.7+743.9+7774.7+2133.2+803.2+33.9+1127+4421.6+78.6+109.2-187.8+369.6+7895.9+2034.2+1222.4+1219.3+4043.1+66+78.6+109.2+124.1+465.537+7929.5+2777.4+1429.6+7.6+549.6+3997.5+1150+699.4+0.9+6668.8+3982.6+595.6+38.8+31.9-0.2+4026.8+37.2+924.7+10179.7+33.9+4749.4+246.8+874.1+123.4+0.5</f>
        <v>136836.03699999998</v>
      </c>
      <c r="E19" s="120">
        <f>D19/D18*100</f>
        <v>51.64704981254247</v>
      </c>
      <c r="F19" s="120">
        <f t="shared" si="3"/>
        <v>88.88787357341029</v>
      </c>
      <c r="G19" s="120">
        <f t="shared" si="0"/>
        <v>66.63353900858068</v>
      </c>
      <c r="H19" s="119">
        <f t="shared" si="4"/>
        <v>17106.263000000006</v>
      </c>
      <c r="I19" s="119">
        <f t="shared" si="2"/>
        <v>68520.06300000005</v>
      </c>
    </row>
    <row r="20" spans="1:9" s="128" customFormat="1" ht="18" hidden="1">
      <c r="A20" s="88" t="s">
        <v>5</v>
      </c>
      <c r="B20" s="31"/>
      <c r="C20" s="32"/>
      <c r="D20" s="33"/>
      <c r="E20" s="92">
        <f>D20/D18*100</f>
        <v>0</v>
      </c>
      <c r="F20" s="92" t="e">
        <f t="shared" si="3"/>
        <v>#DIV/0!</v>
      </c>
      <c r="G20" s="92" t="e">
        <f t="shared" si="0"/>
        <v>#DIV/0!</v>
      </c>
      <c r="H20" s="90">
        <f t="shared" si="4"/>
        <v>0</v>
      </c>
      <c r="I20" s="90">
        <f t="shared" si="2"/>
        <v>0</v>
      </c>
    </row>
    <row r="21" spans="1:9" s="128" customFormat="1" ht="18" hidden="1">
      <c r="A21" s="88" t="s">
        <v>2</v>
      </c>
      <c r="B21" s="31"/>
      <c r="C21" s="32"/>
      <c r="D21" s="33"/>
      <c r="E21" s="92">
        <f>D21/D18*100</f>
        <v>0</v>
      </c>
      <c r="F21" s="92" t="e">
        <f t="shared" si="3"/>
        <v>#DIV/0!</v>
      </c>
      <c r="G21" s="92" t="e">
        <f t="shared" si="0"/>
        <v>#DIV/0!</v>
      </c>
      <c r="H21" s="90">
        <f t="shared" si="4"/>
        <v>0</v>
      </c>
      <c r="I21" s="90">
        <f t="shared" si="2"/>
        <v>0</v>
      </c>
    </row>
    <row r="22" spans="1:9" s="128" customFormat="1" ht="18" hidden="1">
      <c r="A22" s="88" t="s">
        <v>1</v>
      </c>
      <c r="B22" s="31"/>
      <c r="C22" s="32"/>
      <c r="D22" s="33"/>
      <c r="E22" s="92">
        <f>D22/D18*100</f>
        <v>0</v>
      </c>
      <c r="F22" s="92" t="e">
        <f t="shared" si="3"/>
        <v>#DIV/0!</v>
      </c>
      <c r="G22" s="92" t="e">
        <f t="shared" si="0"/>
        <v>#DIV/0!</v>
      </c>
      <c r="H22" s="90">
        <f t="shared" si="4"/>
        <v>0</v>
      </c>
      <c r="I22" s="90">
        <f t="shared" si="2"/>
        <v>0</v>
      </c>
    </row>
    <row r="23" spans="1:9" s="128" customFormat="1" ht="18" hidden="1">
      <c r="A23" s="88" t="s">
        <v>0</v>
      </c>
      <c r="B23" s="31"/>
      <c r="C23" s="32"/>
      <c r="D23" s="33"/>
      <c r="E23" s="92">
        <f>D23/D18*100</f>
        <v>0</v>
      </c>
      <c r="F23" s="92" t="e">
        <f t="shared" si="3"/>
        <v>#DIV/0!</v>
      </c>
      <c r="G23" s="92" t="e">
        <f t="shared" si="0"/>
        <v>#DIV/0!</v>
      </c>
      <c r="H23" s="90">
        <f t="shared" si="4"/>
        <v>0</v>
      </c>
      <c r="I23" s="90">
        <f t="shared" si="2"/>
        <v>0</v>
      </c>
    </row>
    <row r="24" spans="1:9" s="128" customFormat="1" ht="18">
      <c r="A24" s="88" t="s">
        <v>12</v>
      </c>
      <c r="B24" s="31">
        <v>769.2</v>
      </c>
      <c r="C24" s="32">
        <v>999.4</v>
      </c>
      <c r="D24" s="33">
        <f>199.2+100.3+88.2+109-0.1+47.3</f>
        <v>543.9</v>
      </c>
      <c r="E24" s="92">
        <f>D24/D18*100</f>
        <v>0.20528824868730924</v>
      </c>
      <c r="F24" s="92">
        <f t="shared" si="3"/>
        <v>70.70982839313572</v>
      </c>
      <c r="G24" s="92">
        <f t="shared" si="0"/>
        <v>54.42265359215529</v>
      </c>
      <c r="H24" s="90">
        <f t="shared" si="4"/>
        <v>225.30000000000007</v>
      </c>
      <c r="I24" s="90">
        <f t="shared" si="2"/>
        <v>455.5</v>
      </c>
    </row>
    <row r="25" spans="1:9" s="128" customFormat="1" ht="18.75" thickBot="1">
      <c r="A25" s="88" t="s">
        <v>25</v>
      </c>
      <c r="B25" s="32">
        <f>B18-B24</f>
        <v>312210.60000000003</v>
      </c>
      <c r="C25" s="32">
        <f>C18-C24</f>
        <v>414126.70000000007</v>
      </c>
      <c r="D25" s="32">
        <f>D18-D24</f>
        <v>264400.63699999993</v>
      </c>
      <c r="E25" s="92">
        <f>D25/D18*100</f>
        <v>99.79471175131268</v>
      </c>
      <c r="F25" s="92">
        <f t="shared" si="3"/>
        <v>84.68663043471295</v>
      </c>
      <c r="G25" s="92">
        <f t="shared" si="0"/>
        <v>63.845349019997954</v>
      </c>
      <c r="H25" s="90">
        <f t="shared" si="4"/>
        <v>47809.963000000105</v>
      </c>
      <c r="I25" s="90">
        <f t="shared" si="2"/>
        <v>149726.06300000014</v>
      </c>
    </row>
    <row r="26" spans="1:10" ht="57" hidden="1" thickBot="1">
      <c r="A26" s="68" t="s">
        <v>67</v>
      </c>
      <c r="B26" s="32"/>
      <c r="C26" s="32"/>
      <c r="D26" s="32"/>
      <c r="E26" s="1"/>
      <c r="F26" s="1" t="e">
        <f t="shared" si="3"/>
        <v>#DIV/0!</v>
      </c>
      <c r="G26" s="1" t="e">
        <f t="shared" si="0"/>
        <v>#DIV/0!</v>
      </c>
      <c r="H26" s="90">
        <f t="shared" si="4"/>
        <v>0</v>
      </c>
      <c r="I26" s="33">
        <f t="shared" si="2"/>
        <v>0</v>
      </c>
      <c r="J26" s="128"/>
    </row>
    <row r="27" spans="1:10" ht="36.75" customHeight="1" hidden="1">
      <c r="A27" s="68" t="s">
        <v>68</v>
      </c>
      <c r="B27" s="32"/>
      <c r="C27" s="32"/>
      <c r="D27" s="32"/>
      <c r="E27" s="1"/>
      <c r="F27" s="1" t="e">
        <f t="shared" si="3"/>
        <v>#DIV/0!</v>
      </c>
      <c r="G27" s="1" t="e">
        <f t="shared" si="0"/>
        <v>#DIV/0!</v>
      </c>
      <c r="H27" s="90">
        <f t="shared" si="4"/>
        <v>0</v>
      </c>
      <c r="I27" s="33">
        <f t="shared" si="2"/>
        <v>0</v>
      </c>
      <c r="J27" s="128"/>
    </row>
    <row r="28" spans="1:10" ht="19.5" hidden="1" thickBot="1">
      <c r="A28" s="68" t="s">
        <v>69</v>
      </c>
      <c r="B28" s="32"/>
      <c r="C28" s="32"/>
      <c r="D28" s="32"/>
      <c r="E28" s="1"/>
      <c r="F28" s="1" t="e">
        <f t="shared" si="3"/>
        <v>#DIV/0!</v>
      </c>
      <c r="G28" s="1" t="e">
        <f t="shared" si="0"/>
        <v>#DIV/0!</v>
      </c>
      <c r="H28" s="90">
        <f t="shared" si="4"/>
        <v>0</v>
      </c>
      <c r="I28" s="33">
        <f t="shared" si="2"/>
        <v>0</v>
      </c>
      <c r="J28" s="128"/>
    </row>
    <row r="29" spans="1:10" ht="39.75" customHeight="1" hidden="1">
      <c r="A29" s="68" t="s">
        <v>70</v>
      </c>
      <c r="B29" s="32"/>
      <c r="C29" s="32"/>
      <c r="D29" s="32"/>
      <c r="E29" s="1"/>
      <c r="F29" s="1" t="e">
        <f t="shared" si="3"/>
        <v>#DIV/0!</v>
      </c>
      <c r="G29" s="1" t="e">
        <f t="shared" si="0"/>
        <v>#DIV/0!</v>
      </c>
      <c r="H29" s="90">
        <f t="shared" si="4"/>
        <v>0</v>
      </c>
      <c r="I29" s="33">
        <f t="shared" si="2"/>
        <v>0</v>
      </c>
      <c r="J29" s="128"/>
    </row>
    <row r="30" spans="1:10" ht="37.5" customHeight="1" hidden="1">
      <c r="A30" s="68" t="s">
        <v>71</v>
      </c>
      <c r="B30" s="32"/>
      <c r="C30" s="32"/>
      <c r="D30" s="32"/>
      <c r="E30" s="1"/>
      <c r="F30" s="1" t="e">
        <f>D30/B30*100</f>
        <v>#DIV/0!</v>
      </c>
      <c r="G30" s="1" t="e">
        <f t="shared" si="0"/>
        <v>#DIV/0!</v>
      </c>
      <c r="H30" s="90">
        <f t="shared" si="4"/>
        <v>0</v>
      </c>
      <c r="I30" s="33">
        <f t="shared" si="2"/>
        <v>0</v>
      </c>
      <c r="J30" s="128"/>
    </row>
    <row r="31" spans="1:10" ht="36" customHeight="1" hidden="1">
      <c r="A31" s="68" t="s">
        <v>72</v>
      </c>
      <c r="B31" s="32"/>
      <c r="C31" s="32"/>
      <c r="D31" s="32"/>
      <c r="E31" s="1"/>
      <c r="F31" s="1" t="e">
        <f t="shared" si="3"/>
        <v>#DIV/0!</v>
      </c>
      <c r="G31" s="1" t="e">
        <f t="shared" si="0"/>
        <v>#DIV/0!</v>
      </c>
      <c r="H31" s="90">
        <f t="shared" si="4"/>
        <v>0</v>
      </c>
      <c r="I31" s="33">
        <f t="shared" si="2"/>
        <v>0</v>
      </c>
      <c r="J31" s="128"/>
    </row>
    <row r="32" spans="1:10" ht="19.5" hidden="1" thickBot="1">
      <c r="A32" s="68" t="s">
        <v>73</v>
      </c>
      <c r="B32" s="32"/>
      <c r="C32" s="32"/>
      <c r="D32" s="32"/>
      <c r="E32" s="1"/>
      <c r="F32" s="1" t="e">
        <f t="shared" si="3"/>
        <v>#DIV/0!</v>
      </c>
      <c r="G32" s="1" t="e">
        <f t="shared" si="0"/>
        <v>#DIV/0!</v>
      </c>
      <c r="H32" s="90">
        <f t="shared" si="4"/>
        <v>0</v>
      </c>
      <c r="I32" s="33">
        <f t="shared" si="2"/>
        <v>0</v>
      </c>
      <c r="J32" s="128"/>
    </row>
    <row r="33" spans="1:10" ht="18.75" thickBot="1">
      <c r="A33" s="18" t="s">
        <v>15</v>
      </c>
      <c r="B33" s="34">
        <v>20586.4</v>
      </c>
      <c r="C33" s="35">
        <f>26954.8-20-52+351.2</f>
        <v>27234</v>
      </c>
      <c r="D33" s="38">
        <f>238.4+293+43.5+2+39.3+520.9+174.4+181.2+85.5+20.9+137.9+290.2+173.9+53.1+2.1+1.1+14+954.2-0.1+111.5+189.8+1.9+691.6+343.2+7.5-0.1+137+2.4+142.9+7.4+11.4+645.7+261.4-0.1+185.8+10+194.2+438.5+103.2+2.9+164.1+18.2+9.3+153.4+826.8+25.7+38.5-19.8+185.8+167.7+21.7+0.2+135.6+509+5.2+212.9+78.3+42+36.8+20.7+245.8+658.7+30.6+7+185.8+299.1+484.9+0.1+137+69.6+800.9+7.9+19.1+185.8+4.3+148.9+148.4+519.2+43+137+77.9+36.8+34+795.3+15+203.7+87.2+97.2+0.1+107.5+304.4+89.8+144.4+105.7+5.6+581.7+162+7.1-0.1+24.5+239.8</f>
        <v>16598.399999999998</v>
      </c>
      <c r="E33" s="3">
        <f>D33/D156*100</f>
        <v>1.0413481695391955</v>
      </c>
      <c r="F33" s="3">
        <f>D33/B33*100</f>
        <v>80.62798740916331</v>
      </c>
      <c r="G33" s="148">
        <f t="shared" si="0"/>
        <v>60.947345230226915</v>
      </c>
      <c r="H33" s="149">
        <f t="shared" si="4"/>
        <v>3988.0000000000036</v>
      </c>
      <c r="I33" s="36">
        <f t="shared" si="2"/>
        <v>10635.600000000002</v>
      </c>
      <c r="J33" s="128"/>
    </row>
    <row r="34" spans="1:9" s="128" customFormat="1" ht="18">
      <c r="A34" s="88" t="s">
        <v>3</v>
      </c>
      <c r="B34" s="31">
        <f>10890.8+21</f>
        <v>10911.8</v>
      </c>
      <c r="C34" s="32">
        <v>14255.8</v>
      </c>
      <c r="D34" s="33">
        <f>95.5+254.3+520.9+145.6+77.4+290.2+14+629.4+494.6+11.4+607.6+26.4+384.9+103.2+27.1+151.5+461.6+16.4+14.3-0.2+100.6+400.5+180.4+615.1+100.6+396.6-0.2+1.8+800.9+4.3+120.7+413.3+43-0.1+786.7+17.9+0.2+81.8+304.4+80.3+581.7+14.2-0.1</f>
        <v>9370.7</v>
      </c>
      <c r="E34" s="92">
        <f>D34/D33*100</f>
        <v>56.455441488336234</v>
      </c>
      <c r="F34" s="92">
        <f t="shared" si="3"/>
        <v>85.87675727194414</v>
      </c>
      <c r="G34" s="92">
        <f t="shared" si="0"/>
        <v>65.73254394702508</v>
      </c>
      <c r="H34" s="90">
        <f t="shared" si="4"/>
        <v>1541.0999999999985</v>
      </c>
      <c r="I34" s="90">
        <f t="shared" si="2"/>
        <v>4885.0999999999985</v>
      </c>
    </row>
    <row r="35" spans="1:9" s="128" customFormat="1" ht="18">
      <c r="A35" s="88" t="s">
        <v>1</v>
      </c>
      <c r="B35" s="31">
        <v>54.5</v>
      </c>
      <c r="C35" s="32">
        <f>87.1-32.6</f>
        <v>54.49999999999999</v>
      </c>
      <c r="D35" s="33">
        <f>10+2+7.5+3+1.9+26.2+3.9</f>
        <v>54.49999999999999</v>
      </c>
      <c r="E35" s="92">
        <f>D35/D33*100</f>
        <v>0.32834490071332173</v>
      </c>
      <c r="F35" s="92">
        <f t="shared" si="3"/>
        <v>99.99999999999999</v>
      </c>
      <c r="G35" s="92">
        <f t="shared" si="0"/>
        <v>100</v>
      </c>
      <c r="H35" s="90">
        <f t="shared" si="4"/>
        <v>0</v>
      </c>
      <c r="I35" s="90">
        <f t="shared" si="2"/>
        <v>0</v>
      </c>
    </row>
    <row r="36" spans="1:9" s="128" customFormat="1" ht="18">
      <c r="A36" s="88" t="s">
        <v>0</v>
      </c>
      <c r="B36" s="31">
        <v>1225.2</v>
      </c>
      <c r="C36" s="32">
        <f>2087.8+0.3</f>
        <v>2088.1000000000004</v>
      </c>
      <c r="D36" s="33">
        <f>1.1+273.8+98.4+76.8+0.5+2.1+0.3+6.6+52.2+342.8+0.4+3.3+12.2+25.8+7.1+2.1+70+0.1+0.7+1.9+15.3+8.2+0.2+4.2+0.1</f>
        <v>1006.2000000000003</v>
      </c>
      <c r="E36" s="92">
        <f>D36/D33*100</f>
        <v>6.062030075187972</v>
      </c>
      <c r="F36" s="92">
        <f t="shared" si="3"/>
        <v>82.12536728697357</v>
      </c>
      <c r="G36" s="92">
        <f t="shared" si="0"/>
        <v>48.18734734926488</v>
      </c>
      <c r="H36" s="90">
        <f t="shared" si="4"/>
        <v>218.99999999999977</v>
      </c>
      <c r="I36" s="90">
        <f t="shared" si="2"/>
        <v>1081.9</v>
      </c>
    </row>
    <row r="37" spans="1:9" s="83" customFormat="1" ht="18.75">
      <c r="A37" s="142" t="s">
        <v>7</v>
      </c>
      <c r="B37" s="39">
        <v>515.6</v>
      </c>
      <c r="C37" s="153">
        <v>1082.6</v>
      </c>
      <c r="D37" s="40">
        <f>38.7+2+2.3+2.6+2.1+1.9+12.2+7.5+2.4+10+18.2+1.9+7.4-0.2+35+64.9+5.2+1.5+33.7+2.8</f>
        <v>252.10000000000002</v>
      </c>
      <c r="E37" s="95">
        <f>D37/D33*100</f>
        <v>1.5188210911895126</v>
      </c>
      <c r="F37" s="95">
        <f t="shared" si="3"/>
        <v>48.89449185415051</v>
      </c>
      <c r="G37" s="95">
        <f t="shared" si="0"/>
        <v>23.286532421947168</v>
      </c>
      <c r="H37" s="86">
        <f t="shared" si="4"/>
        <v>263.5</v>
      </c>
      <c r="I37" s="93">
        <f t="shared" si="2"/>
        <v>830.4999999999999</v>
      </c>
    </row>
    <row r="38" spans="1:9" s="128" customFormat="1" ht="18">
      <c r="A38" s="88" t="s">
        <v>12</v>
      </c>
      <c r="B38" s="31">
        <v>113.5</v>
      </c>
      <c r="C38" s="32">
        <f>221.9+8.7-26.1</f>
        <v>204.5</v>
      </c>
      <c r="D38" s="32">
        <f>5.1+45.9+8.7+34</f>
        <v>93.7</v>
      </c>
      <c r="E38" s="92">
        <f>D38/D33*100</f>
        <v>0.5645122421438211</v>
      </c>
      <c r="F38" s="92">
        <f t="shared" si="3"/>
        <v>82.55506607929516</v>
      </c>
      <c r="G38" s="92">
        <f t="shared" si="0"/>
        <v>45.81907090464548</v>
      </c>
      <c r="H38" s="90">
        <f t="shared" si="4"/>
        <v>19.799999999999997</v>
      </c>
      <c r="I38" s="90">
        <f t="shared" si="2"/>
        <v>110.8</v>
      </c>
    </row>
    <row r="39" spans="1:9" s="128" customFormat="1" ht="18.75" thickBot="1">
      <c r="A39" s="88" t="s">
        <v>25</v>
      </c>
      <c r="B39" s="31">
        <f>B33-B34-B36-B37-B35-B38</f>
        <v>7765.800000000001</v>
      </c>
      <c r="C39" s="31">
        <f>C33-C34-C36-C37-C35-C38</f>
        <v>9548.5</v>
      </c>
      <c r="D39" s="31">
        <f>D33-D34-D36-D37-D35-D38</f>
        <v>5821.199999999996</v>
      </c>
      <c r="E39" s="92">
        <f>D39/D33*100</f>
        <v>35.070850202429135</v>
      </c>
      <c r="F39" s="92">
        <f t="shared" si="3"/>
        <v>74.959437533802</v>
      </c>
      <c r="G39" s="92">
        <f t="shared" si="0"/>
        <v>60.96454940566577</v>
      </c>
      <c r="H39" s="90">
        <f t="shared" si="4"/>
        <v>1944.600000000005</v>
      </c>
      <c r="I39" s="90">
        <f t="shared" si="2"/>
        <v>3727.300000000004</v>
      </c>
    </row>
    <row r="40" spans="1:10" ht="19.5" hidden="1" thickBot="1">
      <c r="A40" s="68" t="s">
        <v>64</v>
      </c>
      <c r="B40" s="69"/>
      <c r="C40" s="69"/>
      <c r="D40" s="69"/>
      <c r="E40" s="67"/>
      <c r="F40" s="67" t="e">
        <f t="shared" si="3"/>
        <v>#DIV/0!</v>
      </c>
      <c r="G40" s="67" t="e">
        <f t="shared" si="0"/>
        <v>#DIV/0!</v>
      </c>
      <c r="H40" s="90">
        <f t="shared" si="4"/>
        <v>0</v>
      </c>
      <c r="I40" s="71">
        <f t="shared" si="2"/>
        <v>0</v>
      </c>
      <c r="J40" s="128"/>
    </row>
    <row r="41" spans="1:10" ht="19.5" hidden="1" thickBot="1">
      <c r="A41" s="68" t="s">
        <v>65</v>
      </c>
      <c r="B41" s="69"/>
      <c r="C41" s="69"/>
      <c r="D41" s="69"/>
      <c r="E41" s="67"/>
      <c r="F41" s="67" t="e">
        <f t="shared" si="3"/>
        <v>#DIV/0!</v>
      </c>
      <c r="G41" s="67" t="e">
        <f t="shared" si="0"/>
        <v>#DIV/0!</v>
      </c>
      <c r="H41" s="90">
        <f t="shared" si="4"/>
        <v>0</v>
      </c>
      <c r="I41" s="71">
        <f t="shared" si="2"/>
        <v>0</v>
      </c>
      <c r="J41" s="128"/>
    </row>
    <row r="42" spans="1:10" ht="38.25" hidden="1" thickBot="1">
      <c r="A42" s="68" t="s">
        <v>66</v>
      </c>
      <c r="B42" s="69"/>
      <c r="C42" s="69"/>
      <c r="D42" s="69"/>
      <c r="E42" s="67"/>
      <c r="F42" s="67"/>
      <c r="G42" s="67" t="e">
        <f t="shared" si="0"/>
        <v>#DIV/0!</v>
      </c>
      <c r="H42" s="90">
        <f t="shared" si="4"/>
        <v>0</v>
      </c>
      <c r="I42" s="71">
        <f t="shared" si="2"/>
        <v>0</v>
      </c>
      <c r="J42" s="128"/>
    </row>
    <row r="43" spans="1:10" ht="19.5" thickBot="1">
      <c r="A43" s="11" t="s">
        <v>14</v>
      </c>
      <c r="B43" s="70">
        <v>776.5</v>
      </c>
      <c r="C43" s="35">
        <f>955.1+25</f>
        <v>980.1</v>
      </c>
      <c r="D43" s="36">
        <f>18+9.7+7.2+11.6+18.4+18.7+25.1+13.5+2.2+2+16.6+22.9+12+21+7.7+15.6+10+15+10+0.1+10.1+18.6+9+50.3+7+2+8+16.2+27.7+2+2+2+5.5+4+20.4+5+2+2-0.1+2+17.1+4+0.7+3</f>
        <v>477.80000000000007</v>
      </c>
      <c r="E43" s="3">
        <f>D43/D156*100</f>
        <v>0.029976151641473135</v>
      </c>
      <c r="F43" s="3">
        <f>D43/B43*100</f>
        <v>61.53251770766259</v>
      </c>
      <c r="G43" s="3">
        <f t="shared" si="0"/>
        <v>48.75012753800633</v>
      </c>
      <c r="H43" s="149">
        <f t="shared" si="4"/>
        <v>298.69999999999993</v>
      </c>
      <c r="I43" s="36">
        <f t="shared" si="2"/>
        <v>502.29999999999995</v>
      </c>
      <c r="J43" s="128"/>
    </row>
    <row r="44" spans="1:10" ht="18.75" hidden="1" thickBot="1">
      <c r="A44" s="140" t="s">
        <v>12</v>
      </c>
      <c r="B44" s="136">
        <v>0</v>
      </c>
      <c r="C44" s="137">
        <f>51.5-51.5</f>
        <v>0</v>
      </c>
      <c r="D44" s="138">
        <v>0</v>
      </c>
      <c r="E44" s="139">
        <f>D44/D39*100</f>
        <v>0</v>
      </c>
      <c r="F44" s="139" t="e">
        <f>D44/B44*100</f>
        <v>#DIV/0!</v>
      </c>
      <c r="G44" s="139" t="e">
        <f>D44/C44*100</f>
        <v>#DIV/0!</v>
      </c>
      <c r="H44" s="90">
        <f t="shared" si="4"/>
        <v>0</v>
      </c>
      <c r="I44" s="138">
        <f>C44-D44</f>
        <v>0</v>
      </c>
      <c r="J44" s="128"/>
    </row>
    <row r="45" spans="1:11" ht="12" customHeight="1" thickBot="1">
      <c r="A45" s="21"/>
      <c r="B45" s="42"/>
      <c r="C45" s="43"/>
      <c r="D45" s="44"/>
      <c r="E45" s="7"/>
      <c r="F45" s="7"/>
      <c r="G45" s="7"/>
      <c r="H45" s="44"/>
      <c r="I45" s="44"/>
      <c r="J45" s="128"/>
      <c r="K45" s="128"/>
    </row>
    <row r="46" spans="1:11" ht="18.75" thickBot="1">
      <c r="A46" s="18" t="s">
        <v>42</v>
      </c>
      <c r="B46" s="34">
        <v>12548</v>
      </c>
      <c r="C46" s="35">
        <f>16742.1+33.6+125+0.1</f>
        <v>16900.799999999996</v>
      </c>
      <c r="D46" s="36">
        <f>346.4+682.6-0.1+14.1+556.7+0.1+721.1+127.1+71.4+15.4+390.3+13.9+56.1+905.8+4.8+61.3+2.9+439.8+0.3+42+847.9+8.3+402.3+0.1+20.1+0.2+4.4+30.8+63.8+859.4+10.5+475.1+926.2+39.3+521.9+15.3+8.4-0.1+811.6+15.6+419+721.3+14.3</f>
        <v>10667.699999999999</v>
      </c>
      <c r="E46" s="3">
        <f>D46/D156*100</f>
        <v>0.6692687167554268</v>
      </c>
      <c r="F46" s="3">
        <f>D46/B46*100</f>
        <v>85.01514185527573</v>
      </c>
      <c r="G46" s="3">
        <f aca="true" t="shared" si="5" ref="G46:G78">D46/C46*100</f>
        <v>63.11949730190288</v>
      </c>
      <c r="H46" s="36">
        <f>B46-D46</f>
        <v>1880.300000000001</v>
      </c>
      <c r="I46" s="36">
        <f aca="true" t="shared" si="6" ref="I46:I79">C46-D46</f>
        <v>6233.099999999997</v>
      </c>
      <c r="J46" s="128"/>
      <c r="K46" s="128"/>
    </row>
    <row r="47" spans="1:9" s="128" customFormat="1" ht="18">
      <c r="A47" s="88" t="s">
        <v>3</v>
      </c>
      <c r="B47" s="31">
        <v>11378.3</v>
      </c>
      <c r="C47" s="108">
        <v>15270.9</v>
      </c>
      <c r="D47" s="90">
        <f>332.5+633.1+14.1+510.1+691.2+14.1+377.2-0.1+896.5+425+839.9+7+383.6+0.2+7+859.2+449.3+922.6+495.5+806.4+418.5+708</f>
        <v>9790.9</v>
      </c>
      <c r="E47" s="92">
        <f>D47/D46*100</f>
        <v>91.7807962353647</v>
      </c>
      <c r="F47" s="92">
        <f aca="true" t="shared" si="7" ref="F47:F76">D47/B47*100</f>
        <v>86.04888252199362</v>
      </c>
      <c r="G47" s="92">
        <f t="shared" si="5"/>
        <v>64.1147542057115</v>
      </c>
      <c r="H47" s="90">
        <f aca="true" t="shared" si="8" ref="H47:H76">B47-D47</f>
        <v>1587.3999999999996</v>
      </c>
      <c r="I47" s="90">
        <f t="shared" si="6"/>
        <v>5480</v>
      </c>
    </row>
    <row r="48" spans="1:9" s="128" customFormat="1" ht="18">
      <c r="A48" s="88" t="s">
        <v>2</v>
      </c>
      <c r="B48" s="31">
        <v>0.9</v>
      </c>
      <c r="C48" s="108">
        <v>1.6</v>
      </c>
      <c r="D48" s="90">
        <v>0.9</v>
      </c>
      <c r="E48" s="92">
        <f>D48/D46*100</f>
        <v>0.00843668269636379</v>
      </c>
      <c r="F48" s="92">
        <f t="shared" si="7"/>
        <v>100</v>
      </c>
      <c r="G48" s="92">
        <f t="shared" si="5"/>
        <v>56.25</v>
      </c>
      <c r="H48" s="90">
        <f t="shared" si="8"/>
        <v>0</v>
      </c>
      <c r="I48" s="90">
        <f t="shared" si="6"/>
        <v>0.7000000000000001</v>
      </c>
    </row>
    <row r="49" spans="1:9" s="128" customFormat="1" ht="18">
      <c r="A49" s="88" t="s">
        <v>1</v>
      </c>
      <c r="B49" s="31">
        <v>62.4</v>
      </c>
      <c r="C49" s="108">
        <v>106.3</v>
      </c>
      <c r="D49" s="90">
        <f>8.3+10.5+10.2+9.5+10.6+8.1</f>
        <v>57.2</v>
      </c>
      <c r="E49" s="92">
        <f>D49/D46*100</f>
        <v>0.5361980558133431</v>
      </c>
      <c r="F49" s="92">
        <f t="shared" si="7"/>
        <v>91.66666666666667</v>
      </c>
      <c r="G49" s="92">
        <f t="shared" si="5"/>
        <v>53.80997177798683</v>
      </c>
      <c r="H49" s="90">
        <f t="shared" si="8"/>
        <v>5.199999999999996</v>
      </c>
      <c r="I49" s="90">
        <f t="shared" si="6"/>
        <v>49.099999999999994</v>
      </c>
    </row>
    <row r="50" spans="1:9" s="128" customFormat="1" ht="18">
      <c r="A50" s="88" t="s">
        <v>0</v>
      </c>
      <c r="B50" s="31">
        <f>722.2-10</f>
        <v>712.2</v>
      </c>
      <c r="C50" s="108">
        <v>998.4</v>
      </c>
      <c r="D50" s="90">
        <f>13.9+43.7+37.9+3.3+112.6+65.7+2.1+15.6+56.1+2.7+37.7+0.1+42+5.3+1.3+11.6+20.1+0.2+56.8+3.9+4+8.4+3+1.7</f>
        <v>549.7</v>
      </c>
      <c r="E50" s="92">
        <f>D50/D46*100</f>
        <v>5.152938309101307</v>
      </c>
      <c r="F50" s="92">
        <f t="shared" si="7"/>
        <v>77.1833754563325</v>
      </c>
      <c r="G50" s="92">
        <f t="shared" si="5"/>
        <v>55.05809294871795</v>
      </c>
      <c r="H50" s="90">
        <f t="shared" si="8"/>
        <v>162.5</v>
      </c>
      <c r="I50" s="90">
        <f t="shared" si="6"/>
        <v>448.69999999999993</v>
      </c>
    </row>
    <row r="51" spans="1:9" s="128" customFormat="1" ht="18.75" thickBot="1">
      <c r="A51" s="88" t="s">
        <v>25</v>
      </c>
      <c r="B51" s="32">
        <f>B46-B47-B50-B49-B48</f>
        <v>394.2000000000007</v>
      </c>
      <c r="C51" s="108">
        <f>C46-C47-C50-C49-C48</f>
        <v>523.599999999996</v>
      </c>
      <c r="D51" s="108">
        <f>D46-D47-D50-D49-D48</f>
        <v>268.99999999999926</v>
      </c>
      <c r="E51" s="92">
        <f>D51/D46*100</f>
        <v>2.5216307170242818</v>
      </c>
      <c r="F51" s="92">
        <f t="shared" si="7"/>
        <v>68.23947234906107</v>
      </c>
      <c r="G51" s="92">
        <f t="shared" si="5"/>
        <v>51.375095492742794</v>
      </c>
      <c r="H51" s="90">
        <f t="shared" si="8"/>
        <v>125.20000000000147</v>
      </c>
      <c r="I51" s="90">
        <f t="shared" si="6"/>
        <v>254.59999999999678</v>
      </c>
    </row>
    <row r="52" spans="1:10" ht="18.75" thickBot="1">
      <c r="A52" s="18" t="s">
        <v>4</v>
      </c>
      <c r="B52" s="34">
        <f>39511.6-221.7</f>
        <v>39289.9</v>
      </c>
      <c r="C52" s="35">
        <f>54626.8-33-1640-1100-400-221.7+600</f>
        <v>51832.100000000006</v>
      </c>
      <c r="D52" s="36">
        <f>721.7+145.3+5+112.8+1132.7+7.6+9.6+17.1+0.3+1056.5+185.3+56.2+95+1327.2+403.4+2.3+70.2+233.5+966+52.7+123+9.9-0.1+532.2+8.3+75.6+313.4+1771.2+5.9+0.1+98.2+182.6+0.5+835.2+180.6+94+438+427.3+1076.3+1039.4+79.1+111.2+17.3+0.9+739.5+444.4+20.9+23.9+170.6+0.2+2.6+429.3+1723.7+269.1+25.4-0.2+5.4+97.7+7.4+82.9+1256.8+170.3+0.1+371.9+2726.2+63+78.1+193+4+175.2+42.8+902.9+9.1+300.8+36.7+5+0.2+967.7+78.4+150.4+56.7+23.8+692.4+1.3+14.4+275.5+1169.7+99.6-0.1</f>
        <v>27929.200000000008</v>
      </c>
      <c r="E52" s="3">
        <f>D52/D156*100</f>
        <v>1.7522183642214977</v>
      </c>
      <c r="F52" s="3">
        <f>D52/B52*100</f>
        <v>71.08493531416474</v>
      </c>
      <c r="G52" s="3">
        <f t="shared" si="5"/>
        <v>53.883983091559095</v>
      </c>
      <c r="H52" s="36">
        <f>B52-D52</f>
        <v>11360.699999999993</v>
      </c>
      <c r="I52" s="36">
        <f t="shared" si="6"/>
        <v>23902.899999999998</v>
      </c>
      <c r="J52" s="128"/>
    </row>
    <row r="53" spans="1:9" s="128" customFormat="1" ht="18">
      <c r="A53" s="88" t="s">
        <v>3</v>
      </c>
      <c r="B53" s="31">
        <v>20157.4</v>
      </c>
      <c r="C53" s="32">
        <v>25959.9</v>
      </c>
      <c r="D53" s="33">
        <f>721.7+980.4+865.2+984.4+270.7+792.3+9.9+66.7+1210.9+835.2+313.7+945.1+17.3+739.5+1432.2+7.4+1036.6-0.2+2347.5+193+703.6+685.6+56.7+0.1+432.5+932.1-0.1</f>
        <v>16580.000000000004</v>
      </c>
      <c r="E53" s="92">
        <f>D53/D52*100</f>
        <v>59.364392821849535</v>
      </c>
      <c r="F53" s="92">
        <f t="shared" si="7"/>
        <v>82.25267147548793</v>
      </c>
      <c r="G53" s="92">
        <f t="shared" si="5"/>
        <v>63.8677344673901</v>
      </c>
      <c r="H53" s="90">
        <f t="shared" si="8"/>
        <v>3577.399999999998</v>
      </c>
      <c r="I53" s="90">
        <f t="shared" si="6"/>
        <v>9379.899999999998</v>
      </c>
    </row>
    <row r="54" spans="1:9" s="128" customFormat="1" ht="18">
      <c r="A54" s="88" t="s">
        <v>2</v>
      </c>
      <c r="B54" s="31">
        <v>6.2</v>
      </c>
      <c r="C54" s="32">
        <v>16.4</v>
      </c>
      <c r="D54" s="33"/>
      <c r="E54" s="92">
        <f>D54/D52*100</f>
        <v>0</v>
      </c>
      <c r="F54" s="92">
        <f>D54/B54*100</f>
        <v>0</v>
      </c>
      <c r="G54" s="92">
        <f t="shared" si="5"/>
        <v>0</v>
      </c>
      <c r="H54" s="90">
        <f t="shared" si="8"/>
        <v>6.2</v>
      </c>
      <c r="I54" s="90">
        <f t="shared" si="6"/>
        <v>16.4</v>
      </c>
    </row>
    <row r="55" spans="1:9" s="128" customFormat="1" ht="18">
      <c r="A55" s="88" t="s">
        <v>1</v>
      </c>
      <c r="B55" s="31">
        <f>3178.7-140</f>
        <v>3038.7</v>
      </c>
      <c r="C55" s="32">
        <f>4332.1-250-15-140</f>
        <v>3927.1000000000004</v>
      </c>
      <c r="D55" s="33">
        <f>3.2+7.6+9.6+11.4+10.1+24.7+6.6+7.8+2.3+6.6+70.1+102.1+3.2+185.8+105+116.2+245+84+7.3+8.9+0.2+110.8+122.9-0.1+5.4+43.7+5.9+0.4+35.5+6.2+57+84.1+17.2+1.6+53.4+53+36.6</f>
        <v>1651.3000000000004</v>
      </c>
      <c r="E55" s="92">
        <f>D55/D52*100</f>
        <v>5.912450052275038</v>
      </c>
      <c r="F55" s="92">
        <f t="shared" si="7"/>
        <v>54.342317438378274</v>
      </c>
      <c r="G55" s="92">
        <f t="shared" si="5"/>
        <v>42.0488401110234</v>
      </c>
      <c r="H55" s="90">
        <f t="shared" si="8"/>
        <v>1387.3999999999994</v>
      </c>
      <c r="I55" s="90">
        <f t="shared" si="6"/>
        <v>2275.8</v>
      </c>
    </row>
    <row r="56" spans="1:9" s="128" customFormat="1" ht="18">
      <c r="A56" s="88" t="s">
        <v>0</v>
      </c>
      <c r="B56" s="31">
        <v>882.7</v>
      </c>
      <c r="C56" s="32">
        <f>1406.6+3.9+1</f>
        <v>1411.5</v>
      </c>
      <c r="D56" s="33">
        <f>0.3+1.2+21.4+80.5+2.4+14.5+22.9+268+5.9+0.1+8.8+0.5+18.5+22.5+0.1+5.1+69.1+23+1.1+16.4+1+37.3+17.3+14.3+2.9+3.7+0.1+2.9+7.3+0.4+17.9+0.9-0.1+5.7+23.8-10.1+1.2+3.1+0.4</f>
        <v>712.2999999999998</v>
      </c>
      <c r="E56" s="92">
        <f>D56/D52*100</f>
        <v>2.5503773828108205</v>
      </c>
      <c r="F56" s="92">
        <f t="shared" si="7"/>
        <v>80.69559306672707</v>
      </c>
      <c r="G56" s="92">
        <f t="shared" si="5"/>
        <v>50.46404534183492</v>
      </c>
      <c r="H56" s="90">
        <f t="shared" si="8"/>
        <v>170.4000000000002</v>
      </c>
      <c r="I56" s="90">
        <f t="shared" si="6"/>
        <v>699.2000000000002</v>
      </c>
    </row>
    <row r="57" spans="1:9" s="128" customFormat="1" ht="18">
      <c r="A57" s="88" t="s">
        <v>12</v>
      </c>
      <c r="B57" s="31">
        <v>2935.7</v>
      </c>
      <c r="C57" s="32">
        <f>4640-960+600</f>
        <v>4280</v>
      </c>
      <c r="D57" s="32">
        <f>227+242+245+245+245+245+245</f>
        <v>1694</v>
      </c>
      <c r="E57" s="92">
        <f>D57/D52*100</f>
        <v>6.065336636924794</v>
      </c>
      <c r="F57" s="92">
        <f>D57/B57*100</f>
        <v>57.70344381237865</v>
      </c>
      <c r="G57" s="92">
        <f>D57/C57*100</f>
        <v>39.57943925233645</v>
      </c>
      <c r="H57" s="90">
        <f t="shared" si="8"/>
        <v>1241.6999999999998</v>
      </c>
      <c r="I57" s="90">
        <f t="shared" si="6"/>
        <v>2586</v>
      </c>
    </row>
    <row r="58" spans="1:9" s="128" customFormat="1" ht="18.75" thickBot="1">
      <c r="A58" s="88" t="s">
        <v>25</v>
      </c>
      <c r="B58" s="32">
        <f>B52-B53-B56-B55-B54-B57</f>
        <v>12269.199999999997</v>
      </c>
      <c r="C58" s="32">
        <f>C52-C53-C56-C55-C54-C57</f>
        <v>16237.200000000004</v>
      </c>
      <c r="D58" s="32">
        <f>D52-D53-D56-D55-D54-D57</f>
        <v>7291.600000000004</v>
      </c>
      <c r="E58" s="92">
        <f>D58/D52*100</f>
        <v>26.107443106139815</v>
      </c>
      <c r="F58" s="92">
        <f t="shared" si="7"/>
        <v>59.43011769308517</v>
      </c>
      <c r="G58" s="92">
        <f t="shared" si="5"/>
        <v>44.906757322691114</v>
      </c>
      <c r="H58" s="90">
        <f>B58-D58</f>
        <v>4977.599999999993</v>
      </c>
      <c r="I58" s="90">
        <f>C58-D58</f>
        <v>8945.6</v>
      </c>
    </row>
    <row r="59" spans="1:10" s="29" customFormat="1" ht="19.5" hidden="1" thickBot="1">
      <c r="A59" s="68" t="s">
        <v>63</v>
      </c>
      <c r="B59" s="66"/>
      <c r="C59" s="66"/>
      <c r="D59" s="66"/>
      <c r="E59" s="1"/>
      <c r="F59" s="67" t="e">
        <f t="shared" si="7"/>
        <v>#DIV/0!</v>
      </c>
      <c r="G59" s="67" t="e">
        <f t="shared" si="5"/>
        <v>#DIV/0!</v>
      </c>
      <c r="H59" s="71">
        <f t="shared" si="8"/>
        <v>0</v>
      </c>
      <c r="I59" s="71">
        <f>C59-D59</f>
        <v>0</v>
      </c>
      <c r="J59" s="83"/>
    </row>
    <row r="60" spans="1:10" ht="18.75" thickBot="1">
      <c r="A60" s="18" t="s">
        <v>6</v>
      </c>
      <c r="B60" s="34">
        <v>7717.6</v>
      </c>
      <c r="C60" s="35">
        <f>10268.5-1414.6</f>
        <v>8853.9</v>
      </c>
      <c r="D60" s="36">
        <f>80.6+106+88.7+4.1+0.3+50.7+49.2+44+180.6+100.8+125+0.6+0.8+205.4-0.2+30.8+60.6+59.8+0.5+2.3+86.2+133.9+48.6-0.1+49.5+49.3+61.5+235.8+7.3+105+495.2+130.9+134.1+450.8+421.5+647.3+146.2+976.5+7.7+0.1+100+1144.9+45.9+52.2+0.9+4.7+0.3+2.4+182.4+123</f>
        <v>7034.599999999998</v>
      </c>
      <c r="E60" s="3">
        <f>D60/D156*100</f>
        <v>0.44133578136690416</v>
      </c>
      <c r="F60" s="3">
        <f>D60/B60*100</f>
        <v>91.15009847621019</v>
      </c>
      <c r="G60" s="3">
        <f t="shared" si="5"/>
        <v>79.45199290708047</v>
      </c>
      <c r="H60" s="36">
        <f>B60-D60</f>
        <v>683.0000000000027</v>
      </c>
      <c r="I60" s="36">
        <f t="shared" si="6"/>
        <v>1819.300000000002</v>
      </c>
      <c r="J60" s="128"/>
    </row>
    <row r="61" spans="1:9" s="128" customFormat="1" ht="18">
      <c r="A61" s="88" t="s">
        <v>3</v>
      </c>
      <c r="B61" s="156">
        <v>2745.2</v>
      </c>
      <c r="C61" s="108">
        <v>3626.9</v>
      </c>
      <c r="D61" s="90">
        <f>80.6+106+88.7+4.1+50.7+38.1+180.6+95.6+203.1+54.2+59.8+86.2+109.7+0.1+49.5+34.4+208.9+102+130.9+94.1+121.3+0.1+99.9+81.5-0.1+45.9+52.2+180.8</f>
        <v>2358.9000000000005</v>
      </c>
      <c r="E61" s="92">
        <f>D61/D60*100</f>
        <v>33.532823472549985</v>
      </c>
      <c r="F61" s="92">
        <f t="shared" si="7"/>
        <v>85.92816552528052</v>
      </c>
      <c r="G61" s="92">
        <f t="shared" si="5"/>
        <v>65.03901403402355</v>
      </c>
      <c r="H61" s="90">
        <f t="shared" si="8"/>
        <v>386.2999999999993</v>
      </c>
      <c r="I61" s="90">
        <f t="shared" si="6"/>
        <v>1267.9999999999995</v>
      </c>
    </row>
    <row r="62" spans="1:9" s="128" customFormat="1" ht="18">
      <c r="A62" s="88" t="s">
        <v>1</v>
      </c>
      <c r="B62" s="156">
        <v>420</v>
      </c>
      <c r="C62" s="108">
        <v>420</v>
      </c>
      <c r="D62" s="90">
        <f>351.5+65.9</f>
        <v>417.4</v>
      </c>
      <c r="E62" s="92">
        <f>D62/D60*100</f>
        <v>5.933528558837747</v>
      </c>
      <c r="F62" s="92">
        <f>D62/B62*100</f>
        <v>99.38095238095238</v>
      </c>
      <c r="G62" s="92">
        <f t="shared" si="5"/>
        <v>99.38095238095238</v>
      </c>
      <c r="H62" s="90">
        <f t="shared" si="8"/>
        <v>2.6000000000000227</v>
      </c>
      <c r="I62" s="90">
        <f t="shared" si="6"/>
        <v>2.6000000000000227</v>
      </c>
    </row>
    <row r="63" spans="1:9" s="128" customFormat="1" ht="18">
      <c r="A63" s="88" t="s">
        <v>0</v>
      </c>
      <c r="B63" s="156">
        <v>331.3</v>
      </c>
      <c r="C63" s="108">
        <v>475.3</v>
      </c>
      <c r="D63" s="90">
        <f>9.6+44+118.7+0.1+30.8+0.2+16.8+0.1+13.9+3.1+7+0.8+0.9+4.6+0.1+0.5+0.8</f>
        <v>252.00000000000003</v>
      </c>
      <c r="E63" s="92">
        <f>D63/D60*100</f>
        <v>3.582293236289201</v>
      </c>
      <c r="F63" s="92">
        <f t="shared" si="7"/>
        <v>76.0639903410806</v>
      </c>
      <c r="G63" s="92">
        <f t="shared" si="5"/>
        <v>53.01914580265096</v>
      </c>
      <c r="H63" s="90">
        <f t="shared" si="8"/>
        <v>79.29999999999998</v>
      </c>
      <c r="I63" s="90">
        <f t="shared" si="6"/>
        <v>223.29999999999998</v>
      </c>
    </row>
    <row r="64" spans="1:9" s="128" customFormat="1" ht="18">
      <c r="A64" s="88" t="s">
        <v>12</v>
      </c>
      <c r="B64" s="156">
        <v>3434.1</v>
      </c>
      <c r="C64" s="108">
        <f>4848.7-1414.6</f>
        <v>3434.1</v>
      </c>
      <c r="D64" s="90">
        <f>494.9+450.8+494.9+146.2+852.6+994.7</f>
        <v>3434.1000000000004</v>
      </c>
      <c r="E64" s="92">
        <f>D64/D60*100</f>
        <v>48.81727461405057</v>
      </c>
      <c r="F64" s="92">
        <f t="shared" si="7"/>
        <v>100.00000000000003</v>
      </c>
      <c r="G64" s="92">
        <f t="shared" si="5"/>
        <v>100.00000000000003</v>
      </c>
      <c r="H64" s="90">
        <f t="shared" si="8"/>
        <v>0</v>
      </c>
      <c r="I64" s="90">
        <f t="shared" si="6"/>
        <v>0</v>
      </c>
    </row>
    <row r="65" spans="1:9" s="128" customFormat="1" ht="18.75" thickBot="1">
      <c r="A65" s="88" t="s">
        <v>25</v>
      </c>
      <c r="B65" s="32">
        <f>B60-B61-B63-B64-B62</f>
        <v>787.0000000000005</v>
      </c>
      <c r="C65" s="108">
        <f>C60-C61-C63-C64-C62</f>
        <v>897.5999999999999</v>
      </c>
      <c r="D65" s="108">
        <f>D60-D61-D63-D64-D62</f>
        <v>572.1999999999967</v>
      </c>
      <c r="E65" s="92">
        <f>D65/D60*100</f>
        <v>8.134080118272495</v>
      </c>
      <c r="F65" s="92">
        <f t="shared" si="7"/>
        <v>72.70648030495506</v>
      </c>
      <c r="G65" s="92">
        <f t="shared" si="5"/>
        <v>63.74777183600677</v>
      </c>
      <c r="H65" s="90">
        <f t="shared" si="8"/>
        <v>214.8000000000037</v>
      </c>
      <c r="I65" s="90">
        <f t="shared" si="6"/>
        <v>325.40000000000316</v>
      </c>
    </row>
    <row r="66" spans="1:10" s="29" customFormat="1" ht="19.5" hidden="1" thickBot="1">
      <c r="A66" s="68" t="s">
        <v>74</v>
      </c>
      <c r="B66" s="66"/>
      <c r="C66" s="66"/>
      <c r="D66" s="66"/>
      <c r="E66" s="67"/>
      <c r="F66" s="67" t="e">
        <f>D66/B66*100</f>
        <v>#DIV/0!</v>
      </c>
      <c r="G66" s="67" t="e">
        <f>D66/C66*100</f>
        <v>#DIV/0!</v>
      </c>
      <c r="H66" s="71">
        <f t="shared" si="8"/>
        <v>0</v>
      </c>
      <c r="I66" s="71">
        <f t="shared" si="6"/>
        <v>0</v>
      </c>
      <c r="J66" s="83"/>
    </row>
    <row r="67" spans="1:10" s="29" customFormat="1" ht="19.5" hidden="1" thickBot="1">
      <c r="A67" s="68" t="s">
        <v>60</v>
      </c>
      <c r="B67" s="66"/>
      <c r="C67" s="66"/>
      <c r="D67" s="66"/>
      <c r="E67" s="67"/>
      <c r="F67" s="67" t="e">
        <f t="shared" si="7"/>
        <v>#DIV/0!</v>
      </c>
      <c r="G67" s="67" t="e">
        <f t="shared" si="5"/>
        <v>#DIV/0!</v>
      </c>
      <c r="H67" s="71">
        <f t="shared" si="8"/>
        <v>0</v>
      </c>
      <c r="I67" s="71">
        <f t="shared" si="6"/>
        <v>0</v>
      </c>
      <c r="J67" s="83"/>
    </row>
    <row r="68" spans="1:10" s="29" customFormat="1" ht="19.5" hidden="1" thickBot="1">
      <c r="A68" s="68" t="s">
        <v>61</v>
      </c>
      <c r="B68" s="66"/>
      <c r="C68" s="66"/>
      <c r="D68" s="66"/>
      <c r="E68" s="67"/>
      <c r="F68" s="67" t="e">
        <f t="shared" si="7"/>
        <v>#DIV/0!</v>
      </c>
      <c r="G68" s="67" t="e">
        <f t="shared" si="5"/>
        <v>#DIV/0!</v>
      </c>
      <c r="H68" s="71">
        <f t="shared" si="8"/>
        <v>0</v>
      </c>
      <c r="I68" s="71">
        <f t="shared" si="6"/>
        <v>0</v>
      </c>
      <c r="J68" s="83"/>
    </row>
    <row r="69" spans="1:10" s="29" customFormat="1" ht="19.5" hidden="1" thickBot="1">
      <c r="A69" s="68" t="s">
        <v>62</v>
      </c>
      <c r="B69" s="66"/>
      <c r="C69" s="66"/>
      <c r="D69" s="66"/>
      <c r="E69" s="67"/>
      <c r="F69" s="67" t="e">
        <f t="shared" si="7"/>
        <v>#DIV/0!</v>
      </c>
      <c r="G69" s="67" t="e">
        <f t="shared" si="5"/>
        <v>#DIV/0!</v>
      </c>
      <c r="H69" s="71">
        <f t="shared" si="8"/>
        <v>0</v>
      </c>
      <c r="I69" s="71">
        <f t="shared" si="6"/>
        <v>0</v>
      </c>
      <c r="J69" s="83"/>
    </row>
    <row r="70" spans="1:10" ht="18.75" thickBot="1">
      <c r="A70" s="18" t="s">
        <v>18</v>
      </c>
      <c r="B70" s="35">
        <f>B71+B72</f>
        <v>345.5</v>
      </c>
      <c r="C70" s="35">
        <f>C71+C72</f>
        <v>408.6</v>
      </c>
      <c r="D70" s="36">
        <f>D71+D72</f>
        <v>248.3</v>
      </c>
      <c r="E70" s="27">
        <f>D70/D156*100</f>
        <v>0.015577811746709457</v>
      </c>
      <c r="F70" s="3">
        <f>D70/B70*100</f>
        <v>71.86685962373373</v>
      </c>
      <c r="G70" s="3">
        <f t="shared" si="5"/>
        <v>60.76847772883015</v>
      </c>
      <c r="H70" s="36">
        <f>B70-D70</f>
        <v>97.19999999999999</v>
      </c>
      <c r="I70" s="36">
        <f t="shared" si="6"/>
        <v>160.3</v>
      </c>
      <c r="J70" s="128"/>
    </row>
    <row r="71" spans="1:9" s="128" customFormat="1" ht="18">
      <c r="A71" s="88" t="s">
        <v>106</v>
      </c>
      <c r="B71" s="31">
        <v>217.3</v>
      </c>
      <c r="C71" s="32">
        <v>217.3</v>
      </c>
      <c r="D71" s="90">
        <f>50+117.3+50</f>
        <v>217.3</v>
      </c>
      <c r="E71" s="92">
        <f>D71/D70*100</f>
        <v>87.51510269834877</v>
      </c>
      <c r="F71" s="92">
        <f t="shared" si="7"/>
        <v>100</v>
      </c>
      <c r="G71" s="92">
        <f t="shared" si="5"/>
        <v>100</v>
      </c>
      <c r="H71" s="90">
        <f t="shared" si="8"/>
        <v>0</v>
      </c>
      <c r="I71" s="90">
        <f t="shared" si="6"/>
        <v>0</v>
      </c>
    </row>
    <row r="72" spans="1:9" s="128" customFormat="1" ht="21" customHeight="1">
      <c r="A72" s="141" t="s">
        <v>107</v>
      </c>
      <c r="B72" s="31">
        <v>128.2</v>
      </c>
      <c r="C72" s="32">
        <f>396.5-65.8-22.7-7.6-44.6-43.5-21</f>
        <v>191.29999999999998</v>
      </c>
      <c r="D72" s="90">
        <f>0.6+6.4+23.4+0.7-0.1</f>
        <v>30.999999999999996</v>
      </c>
      <c r="E72" s="92">
        <f>D72/D71*100</f>
        <v>14.265991716520936</v>
      </c>
      <c r="F72" s="92">
        <f t="shared" si="7"/>
        <v>24.180967238689547</v>
      </c>
      <c r="G72" s="92">
        <f t="shared" si="5"/>
        <v>16.20491374803973</v>
      </c>
      <c r="H72" s="90">
        <f t="shared" si="8"/>
        <v>97.19999999999999</v>
      </c>
      <c r="I72" s="90">
        <f t="shared" si="6"/>
        <v>160.29999999999998</v>
      </c>
    </row>
    <row r="73" spans="1:9" s="128" customFormat="1" ht="18.75" thickBot="1">
      <c r="A73" s="88" t="s">
        <v>46</v>
      </c>
      <c r="B73" s="31">
        <f>23.4+0.7</f>
        <v>24.099999999999998</v>
      </c>
      <c r="C73" s="32">
        <f>23.4+0.7</f>
        <v>24.099999999999998</v>
      </c>
      <c r="D73" s="108">
        <f>23.4+0.7</f>
        <v>24.099999999999998</v>
      </c>
      <c r="E73" s="92">
        <f>D73/D72*100</f>
        <v>77.74193548387098</v>
      </c>
      <c r="F73" s="92">
        <f>D73/B73*100</f>
        <v>100</v>
      </c>
      <c r="G73" s="92">
        <f>D73/C73*100</f>
        <v>100</v>
      </c>
      <c r="H73" s="90">
        <f>B73-D73</f>
        <v>0</v>
      </c>
      <c r="I73" s="90">
        <f>C73-D73</f>
        <v>0</v>
      </c>
    </row>
    <row r="74" spans="1:10" ht="38.25" hidden="1" thickBot="1">
      <c r="A74" s="11" t="s">
        <v>39</v>
      </c>
      <c r="B74" s="42"/>
      <c r="C74" s="43">
        <f>C75+C76+C77+C78</f>
        <v>0</v>
      </c>
      <c r="D74" s="35">
        <f>D75+D76+D77+D78</f>
        <v>0</v>
      </c>
      <c r="E74" s="3">
        <f>D74/D156*100</f>
        <v>0</v>
      </c>
      <c r="F74" s="3" t="e">
        <f>D74/B74*100</f>
        <v>#DIV/0!</v>
      </c>
      <c r="G74" s="3" t="e">
        <f t="shared" si="5"/>
        <v>#DIV/0!</v>
      </c>
      <c r="H74" s="36">
        <f>B74-D74</f>
        <v>0</v>
      </c>
      <c r="I74" s="36">
        <f t="shared" si="6"/>
        <v>0</v>
      </c>
      <c r="J74" s="128"/>
    </row>
    <row r="75" spans="1:10" ht="18.75" hidden="1">
      <c r="A75" s="15" t="s">
        <v>43</v>
      </c>
      <c r="B75" s="39"/>
      <c r="C75" s="45"/>
      <c r="D75" s="37"/>
      <c r="E75" s="24" t="e">
        <f>D75/D74*100</f>
        <v>#DIV/0!</v>
      </c>
      <c r="F75" s="1" t="e">
        <f t="shared" si="7"/>
        <v>#DIV/0!</v>
      </c>
      <c r="G75" s="1" t="e">
        <f t="shared" si="5"/>
        <v>#DIV/0!</v>
      </c>
      <c r="H75" s="33">
        <f t="shared" si="8"/>
        <v>0</v>
      </c>
      <c r="I75" s="33">
        <f t="shared" si="6"/>
        <v>0</v>
      </c>
      <c r="J75" s="128"/>
    </row>
    <row r="76" spans="1:10" ht="18.75" hidden="1">
      <c r="A76" s="15" t="s">
        <v>44</v>
      </c>
      <c r="B76" s="39"/>
      <c r="C76" s="45"/>
      <c r="D76" s="37"/>
      <c r="E76" s="24" t="e">
        <f>D76/D74*100</f>
        <v>#DIV/0!</v>
      </c>
      <c r="F76" s="1" t="e">
        <f t="shared" si="7"/>
        <v>#DIV/0!</v>
      </c>
      <c r="G76" s="1" t="e">
        <f t="shared" si="5"/>
        <v>#DIV/0!</v>
      </c>
      <c r="H76" s="33">
        <f t="shared" si="8"/>
        <v>0</v>
      </c>
      <c r="I76" s="33">
        <f t="shared" si="6"/>
        <v>0</v>
      </c>
      <c r="J76" s="128"/>
    </row>
    <row r="77" spans="1:10" ht="18.75" hidden="1">
      <c r="A77" s="20" t="s">
        <v>32</v>
      </c>
      <c r="B77" s="46"/>
      <c r="C77" s="47"/>
      <c r="D77" s="48"/>
      <c r="E77" s="24" t="e">
        <f>D77/D74*100</f>
        <v>#DIV/0!</v>
      </c>
      <c r="F77" s="24"/>
      <c r="G77" s="1" t="e">
        <f t="shared" si="5"/>
        <v>#DIV/0!</v>
      </c>
      <c r="H77" s="33"/>
      <c r="I77" s="33">
        <f t="shared" si="6"/>
        <v>0</v>
      </c>
      <c r="J77" s="128"/>
    </row>
    <row r="78" spans="1:10" ht="19.5" hidden="1" thickBot="1">
      <c r="A78" s="20" t="s">
        <v>40</v>
      </c>
      <c r="B78" s="46"/>
      <c r="C78" s="47"/>
      <c r="D78" s="48"/>
      <c r="E78" s="24" t="e">
        <f>D78/D74*100</f>
        <v>#DIV/0!</v>
      </c>
      <c r="F78" s="24"/>
      <c r="G78" s="1" t="e">
        <f t="shared" si="5"/>
        <v>#DIV/0!</v>
      </c>
      <c r="H78" s="33"/>
      <c r="I78" s="33">
        <f t="shared" si="6"/>
        <v>0</v>
      </c>
      <c r="J78" s="128"/>
    </row>
    <row r="79" spans="1:10" s="29" customFormat="1" ht="19.5" thickBot="1">
      <c r="A79" s="21" t="s">
        <v>11</v>
      </c>
      <c r="B79" s="42">
        <f>80+20</f>
        <v>100</v>
      </c>
      <c r="C79" s="154">
        <f>10000-9900</f>
        <v>100</v>
      </c>
      <c r="D79" s="49"/>
      <c r="E79" s="30"/>
      <c r="F79" s="30"/>
      <c r="G79" s="30"/>
      <c r="H79" s="49">
        <f>B79-D79</f>
        <v>100</v>
      </c>
      <c r="I79" s="49">
        <f t="shared" si="6"/>
        <v>100</v>
      </c>
      <c r="J79" s="83"/>
    </row>
    <row r="80" spans="1:10" ht="8.25" customHeight="1" thickBot="1">
      <c r="A80" s="15"/>
      <c r="B80" s="39"/>
      <c r="C80" s="47"/>
      <c r="D80" s="48"/>
      <c r="E80" s="6"/>
      <c r="F80" s="6"/>
      <c r="G80" s="6"/>
      <c r="H80" s="48"/>
      <c r="I80" s="130"/>
      <c r="J80" s="128"/>
    </row>
    <row r="81" spans="1:10" ht="18.75" customHeight="1" hidden="1" thickBot="1">
      <c r="A81" s="11" t="s">
        <v>54</v>
      </c>
      <c r="B81" s="41"/>
      <c r="C81" s="35"/>
      <c r="D81" s="35"/>
      <c r="E81" s="3">
        <f>D81/D156*100</f>
        <v>0</v>
      </c>
      <c r="F81" s="3" t="e">
        <f>D81/B81*100</f>
        <v>#DIV/0!</v>
      </c>
      <c r="G81" s="3" t="e">
        <f aca="true" t="shared" si="9" ref="G81:G95">D81/C81*100</f>
        <v>#DIV/0!</v>
      </c>
      <c r="H81" s="36">
        <f>B81-D81</f>
        <v>0</v>
      </c>
      <c r="I81" s="36">
        <f aca="true" t="shared" si="10" ref="I81:I95">C81-D81</f>
        <v>0</v>
      </c>
      <c r="J81" s="128"/>
    </row>
    <row r="82" spans="1:10" s="8" customFormat="1" ht="18.75" hidden="1" thickBot="1">
      <c r="A82" s="9" t="s">
        <v>53</v>
      </c>
      <c r="B82" s="50"/>
      <c r="C82" s="32"/>
      <c r="D82" s="33"/>
      <c r="E82" s="65"/>
      <c r="F82" s="1" t="e">
        <f>D82/B82*100</f>
        <v>#DIV/0!</v>
      </c>
      <c r="G82" s="1" t="e">
        <f t="shared" si="9"/>
        <v>#DIV/0!</v>
      </c>
      <c r="H82" s="33">
        <f>B82-D82</f>
        <v>0</v>
      </c>
      <c r="I82" s="33">
        <f t="shared" si="10"/>
        <v>0</v>
      </c>
      <c r="J82" s="127"/>
    </row>
    <row r="83" spans="1:10" s="8" customFormat="1" ht="31.5" hidden="1" thickBot="1">
      <c r="A83" s="9" t="s">
        <v>51</v>
      </c>
      <c r="B83" s="50"/>
      <c r="C83" s="32"/>
      <c r="D83" s="33"/>
      <c r="E83" s="65"/>
      <c r="F83" s="1" t="e">
        <f>D83/B83*100</f>
        <v>#DIV/0!</v>
      </c>
      <c r="G83" s="1" t="e">
        <f t="shared" si="9"/>
        <v>#DIV/0!</v>
      </c>
      <c r="H83" s="33">
        <f>B83-D83</f>
        <v>0</v>
      </c>
      <c r="I83" s="33">
        <f t="shared" si="10"/>
        <v>0</v>
      </c>
      <c r="J83" s="127"/>
    </row>
    <row r="84" spans="1:10" s="8" customFormat="1" ht="16.5" customHeight="1" hidden="1">
      <c r="A84" s="9" t="s">
        <v>31</v>
      </c>
      <c r="B84" s="50"/>
      <c r="C84" s="32"/>
      <c r="D84" s="33"/>
      <c r="E84" s="1" t="e">
        <f>D84/D81*100</f>
        <v>#DIV/0!</v>
      </c>
      <c r="F84" s="1"/>
      <c r="G84" s="1" t="e">
        <f t="shared" si="9"/>
        <v>#DIV/0!</v>
      </c>
      <c r="H84" s="33"/>
      <c r="I84" s="33">
        <f t="shared" si="10"/>
        <v>0</v>
      </c>
      <c r="J84" s="127"/>
    </row>
    <row r="85" spans="1:10" s="8" customFormat="1" ht="33" customHeight="1" hidden="1" thickBot="1">
      <c r="A85" s="9" t="s">
        <v>37</v>
      </c>
      <c r="B85" s="50"/>
      <c r="C85" s="32"/>
      <c r="D85" s="32"/>
      <c r="E85" s="1" t="e">
        <f>D85/D81*100</f>
        <v>#DIV/0!</v>
      </c>
      <c r="F85" s="1"/>
      <c r="G85" s="1" t="e">
        <f t="shared" si="9"/>
        <v>#DIV/0!</v>
      </c>
      <c r="H85" s="33"/>
      <c r="I85" s="33">
        <f t="shared" si="10"/>
        <v>0</v>
      </c>
      <c r="J85" s="127"/>
    </row>
    <row r="86" spans="1:10" ht="35.25" customHeight="1" hidden="1" thickBot="1">
      <c r="A86" s="11" t="s">
        <v>33</v>
      </c>
      <c r="B86" s="41"/>
      <c r="C86" s="35"/>
      <c r="D86" s="35"/>
      <c r="E86" s="3">
        <f>D86/D156*100</f>
        <v>0</v>
      </c>
      <c r="F86" s="3"/>
      <c r="G86" s="3" t="e">
        <f t="shared" si="9"/>
        <v>#DIV/0!</v>
      </c>
      <c r="H86" s="36"/>
      <c r="I86" s="36">
        <f t="shared" si="10"/>
        <v>0</v>
      </c>
      <c r="J86" s="128"/>
    </row>
    <row r="87" spans="1:10" ht="16.5" customHeight="1" hidden="1">
      <c r="A87" s="19" t="s">
        <v>21</v>
      </c>
      <c r="B87" s="31"/>
      <c r="C87" s="47"/>
      <c r="D87" s="47"/>
      <c r="E87" s="6" t="e">
        <f>D87/D86*100</f>
        <v>#DIV/0!</v>
      </c>
      <c r="F87" s="6"/>
      <c r="G87" s="6" t="e">
        <f t="shared" si="9"/>
        <v>#DIV/0!</v>
      </c>
      <c r="H87" s="48"/>
      <c r="I87" s="33">
        <f t="shared" si="10"/>
        <v>0</v>
      </c>
      <c r="J87" s="128"/>
    </row>
    <row r="88" spans="1:10" ht="16.5" customHeight="1" hidden="1" thickBot="1">
      <c r="A88" s="19" t="s">
        <v>22</v>
      </c>
      <c r="B88" s="31"/>
      <c r="C88" s="47"/>
      <c r="D88" s="47"/>
      <c r="E88" s="6" t="e">
        <f>D88/D86*100</f>
        <v>#DIV/0!</v>
      </c>
      <c r="F88" s="6"/>
      <c r="G88" s="6" t="e">
        <f t="shared" si="9"/>
        <v>#DIV/0!</v>
      </c>
      <c r="H88" s="48"/>
      <c r="I88" s="33">
        <f t="shared" si="10"/>
        <v>0</v>
      </c>
      <c r="J88" s="128"/>
    </row>
    <row r="89" spans="1:10" ht="34.5" customHeight="1" hidden="1" thickBot="1">
      <c r="A89" s="11" t="s">
        <v>34</v>
      </c>
      <c r="B89" s="41"/>
      <c r="C89" s="35"/>
      <c r="D89" s="35"/>
      <c r="E89" s="3">
        <f>D89/D156*100</f>
        <v>0</v>
      </c>
      <c r="F89" s="3"/>
      <c r="G89" s="3" t="e">
        <f t="shared" si="9"/>
        <v>#DIV/0!</v>
      </c>
      <c r="H89" s="36"/>
      <c r="I89" s="36">
        <f t="shared" si="10"/>
        <v>0</v>
      </c>
      <c r="J89" s="128"/>
    </row>
    <row r="90" spans="1:10" ht="17.25" customHeight="1" hidden="1">
      <c r="A90" s="19" t="s">
        <v>21</v>
      </c>
      <c r="B90" s="31"/>
      <c r="C90" s="32"/>
      <c r="D90" s="33"/>
      <c r="E90" s="1" t="e">
        <f>D90/D89*100</f>
        <v>#DIV/0!</v>
      </c>
      <c r="F90" s="1"/>
      <c r="G90" s="1" t="e">
        <f t="shared" si="9"/>
        <v>#DIV/0!</v>
      </c>
      <c r="H90" s="33"/>
      <c r="I90" s="33">
        <f t="shared" si="10"/>
        <v>0</v>
      </c>
      <c r="J90" s="128"/>
    </row>
    <row r="91" spans="1:10" ht="17.25" customHeight="1" hidden="1" thickBot="1">
      <c r="A91" s="19" t="s">
        <v>22</v>
      </c>
      <c r="B91" s="31"/>
      <c r="C91" s="32"/>
      <c r="D91" s="33"/>
      <c r="E91" s="1" t="e">
        <f>D91/D89*100</f>
        <v>#DIV/0!</v>
      </c>
      <c r="F91" s="1"/>
      <c r="G91" s="1" t="e">
        <f t="shared" si="9"/>
        <v>#DIV/0!</v>
      </c>
      <c r="H91" s="33"/>
      <c r="I91" s="33">
        <f t="shared" si="10"/>
        <v>0</v>
      </c>
      <c r="J91" s="128"/>
    </row>
    <row r="92" spans="1:10" ht="19.5" thickBot="1">
      <c r="A92" s="11" t="s">
        <v>8</v>
      </c>
      <c r="B92" s="41">
        <f>168194.4+300+352.9</f>
        <v>168847.3</v>
      </c>
      <c r="C92" s="35">
        <f>208452.8+200+77.9-200+1000.1+7691.5+605.2+352.9</f>
        <v>218180.4</v>
      </c>
      <c r="D92" s="36">
        <f>244+43.9+2457.4+2707.4+10.4+33.4+0.3+26.7+297+18.1+13+3+6.2+490.1+6379.1-0.1+2560.6+73.2+32.7+207.4+162.1+3.7+587.9+1178+3844.7+1728.3+5.1+21.1+0.3+34.4+45+4.2+963+7087.2+2475+12.1+0.2+203.9+119.8+249.5+28.2+94.6+1641.4+3683.9+1284.9+43.8+45.6+7+132+69+12.9+1131.2+2053.4+6027.2+894.6+407+308.2+42.8+26.9+55.8+18.9+32+2098.5+2975.4+1838.9+53.3+22.9+6.8+6.4+20.7+958.9+962.6+6238.3+2315.7+443.9+95.4+331.1+76.6+36.9+49.5+1454.8+2354.1+2278.3+13.1+160.2+26.9+516.5+1+19.8+67.4+14.6+1355.2+3917.1+4971.5+7.7+247+44.8+413.5+53.4+25.7+139.9+2325.9+1224.6+3612.7+7.2+24.9+479.2+19.1+1.8+1175.5+45.4+8006.2+816.9+556.7+252.7+47.1+26.1+10.5+1831.8+362.6+5112.3+49.2+9.1+4.2+67+56.3+15.3+36.4+3.2+0.2+1681.3+904.4+5604+2912.7+111.6+443.9+432.8+161.2+154.6+72.7+480.5+513.7+5.6+4306.4+1460.6+6.4+26.5+6.4+367.1+102+309.4+863.4+791.5+5185.3+0.2+2016.7+9.2+204.3+37.1+26.4+142.8</f>
        <v>144505.69999999998</v>
      </c>
      <c r="E92" s="3">
        <f>D92/D156*100</f>
        <v>9.065979021049023</v>
      </c>
      <c r="F92" s="3">
        <f aca="true" t="shared" si="11" ref="F92:F98">D92/B92*100</f>
        <v>85.58366050271458</v>
      </c>
      <c r="G92" s="3">
        <f t="shared" si="9"/>
        <v>66.23220967602956</v>
      </c>
      <c r="H92" s="36">
        <f aca="true" t="shared" si="12" ref="H92:H98">B92-D92</f>
        <v>24341.600000000006</v>
      </c>
      <c r="I92" s="36">
        <f t="shared" si="10"/>
        <v>73674.70000000001</v>
      </c>
      <c r="J92" s="128"/>
    </row>
    <row r="93" spans="1:9" s="128" customFormat="1" ht="21.75" customHeight="1">
      <c r="A93" s="88" t="s">
        <v>3</v>
      </c>
      <c r="B93" s="107">
        <f>158248.5+300+252.9</f>
        <v>158801.4</v>
      </c>
      <c r="C93" s="108">
        <f>195523.2+200-200+936+7331.5+583.5+252.9</f>
        <v>204627.1</v>
      </c>
      <c r="D93" s="90">
        <f>244+2447.7+2707.4+7.9+32.8+292+16+4.4+487.2+6367.9-0.1+2554.5+39.8+0.3+122+1.4+575.3+1176+3828+1657.6+10+5.7+877.3+7018.3+1997.5+99.9+196.5+40.7+134.2+1.1+1320.5+3625.9+1272.5-0.3+130.1+0.9+1054+1991.7+5764.4+865.1+404.9+294.9+22.6+39.9+14.8+1918.5+2969.6+1796.3+33.2+806+952+6219.1+2233.7+443.9+70.3+10.4+66.6-0.2+1293+2348.9+2098.9+101.7+0.4+516+10.8+1290.2+3880.2+4953.9+244.9+22.5+122+32.5+2213.2+1219+3586+9.1+360+1161.2+7970.4+385.2+462.1+247.2+1788.6+354.1+5063.8+47.1+52.3+0.1+1675.5+858.8+5573.5+2911.9+11.6+413+204.9+151+34.8+434.2+551.8+4292.3+1451.3+25+360+307.7+772.5+102+783.1+5051+2015.7+9.2+0.1+204.3+37.1+109.8</f>
        <v>137442</v>
      </c>
      <c r="E93" s="92">
        <f>D93/D92*100</f>
        <v>95.11181911855381</v>
      </c>
      <c r="F93" s="92">
        <f t="shared" si="11"/>
        <v>86.54961480188462</v>
      </c>
      <c r="G93" s="92">
        <f t="shared" si="9"/>
        <v>67.16705656288927</v>
      </c>
      <c r="H93" s="90">
        <f t="shared" si="12"/>
        <v>21359.399999999994</v>
      </c>
      <c r="I93" s="90">
        <f t="shared" si="10"/>
        <v>67185.1</v>
      </c>
    </row>
    <row r="94" spans="1:9" s="128" customFormat="1" ht="18">
      <c r="A94" s="88" t="s">
        <v>23</v>
      </c>
      <c r="B94" s="107">
        <v>1716.8</v>
      </c>
      <c r="C94" s="108">
        <v>2704.7</v>
      </c>
      <c r="D94" s="90">
        <f>10+5.9+981.6+112.5+3.5+4.3+3+9.2+59.4+52.3+6.5+0.9+71.3+23+0.6+0.1+65.9+1.9-0.1+0.8</f>
        <v>1412.6000000000001</v>
      </c>
      <c r="E94" s="92">
        <f>D94/D92*100</f>
        <v>0.9775392942977338</v>
      </c>
      <c r="F94" s="92">
        <f t="shared" si="11"/>
        <v>82.28098788443617</v>
      </c>
      <c r="G94" s="92">
        <f t="shared" si="9"/>
        <v>52.22760380079122</v>
      </c>
      <c r="H94" s="90">
        <f t="shared" si="12"/>
        <v>304.1999999999998</v>
      </c>
      <c r="I94" s="90">
        <f t="shared" si="10"/>
        <v>1292.0999999999997</v>
      </c>
    </row>
    <row r="95" spans="1:9" s="128" customFormat="1" ht="18" hidden="1">
      <c r="A95" s="88" t="s">
        <v>12</v>
      </c>
      <c r="B95" s="107"/>
      <c r="C95" s="108"/>
      <c r="D95" s="108"/>
      <c r="E95" s="109">
        <f>D95/D92*100</f>
        <v>0</v>
      </c>
      <c r="F95" s="92"/>
      <c r="G95" s="92" t="e">
        <f t="shared" si="9"/>
        <v>#DIV/0!</v>
      </c>
      <c r="H95" s="90">
        <f t="shared" si="12"/>
        <v>0</v>
      </c>
      <c r="I95" s="90">
        <f t="shared" si="10"/>
        <v>0</v>
      </c>
    </row>
    <row r="96" spans="1:9" s="128" customFormat="1" ht="18.75" thickBot="1">
      <c r="A96" s="88" t="s">
        <v>25</v>
      </c>
      <c r="B96" s="108">
        <f>B92-B93-B94-B95</f>
        <v>8329.099999999995</v>
      </c>
      <c r="C96" s="108">
        <f>C92-C93-C94-C95</f>
        <v>10848.599999999988</v>
      </c>
      <c r="D96" s="108">
        <f>D92-D93-D94-D95</f>
        <v>5651.099999999982</v>
      </c>
      <c r="E96" s="92">
        <f>D96/D92*100</f>
        <v>3.9106415871484534</v>
      </c>
      <c r="F96" s="92">
        <f t="shared" si="11"/>
        <v>67.84766661464006</v>
      </c>
      <c r="G96" s="92">
        <f>D96/C96*100</f>
        <v>52.090592334494666</v>
      </c>
      <c r="H96" s="90">
        <f t="shared" si="12"/>
        <v>2678.0000000000127</v>
      </c>
      <c r="I96" s="90">
        <f>C96-D96</f>
        <v>5197.5000000000055</v>
      </c>
    </row>
    <row r="97" spans="1:10" ht="18.75">
      <c r="A97" s="74" t="s">
        <v>10</v>
      </c>
      <c r="B97" s="82">
        <f>85260.1+3259.9</f>
        <v>88520</v>
      </c>
      <c r="C97" s="77">
        <f>83543+41100+1904.1+3500+20+3672-160+681.4</f>
        <v>134260.5</v>
      </c>
      <c r="D97" s="76">
        <f>550.6+16+384.3+525.5+369.8+2.6+13.2+66.6+29.8+815.4+66.6+46.7+1198.1+490.3+154+72.1+121.6+525.1+495.6+452.5+67.7+766.7+27.8+2611.4+110.1+3.8+3.3+441.8+656.5+3.5+157.9+215.4+10546.5+1149.5+25.1+98.2+543.6+176.7+29.8+75.6+1142.3+18.4+2564.5+1033.7+299+788.3+504+976.5+145.6+720.1+36.3+55.7+1776.3+7.4+3+1416.6+988.8+825.3+2164.2+954.8+1228.8+864.1+150.9+537.9+202.2+1664.5-161+3.2+83.7+1947.1+120.8+2138.3+316.7+8.7+5.2+1499.8+122.3+322.5+1155.2+3979.5+154.8+10.6+1044.8+1881.1+370.4+1.1+1009.2+390.7+32.1-0.1+617.8+130.2+1118.7+594.6+3.2+899+638.4+352.1+18.6+127.4+3281.8</f>
        <v>69394.99999999999</v>
      </c>
      <c r="E97" s="73">
        <f>D97/D156*100</f>
        <v>4.353694104562636</v>
      </c>
      <c r="F97" s="75">
        <f t="shared" si="11"/>
        <v>78.39471305919564</v>
      </c>
      <c r="G97" s="72">
        <f>D97/C97*100</f>
        <v>51.68683268720137</v>
      </c>
      <c r="H97" s="76">
        <f t="shared" si="12"/>
        <v>19125.000000000015</v>
      </c>
      <c r="I97" s="78">
        <f>C97-D97</f>
        <v>64865.500000000015</v>
      </c>
      <c r="J97" s="128"/>
    </row>
    <row r="98" spans="1:9" s="128" customFormat="1" ht="18.75" thickBot="1">
      <c r="A98" s="110" t="s">
        <v>81</v>
      </c>
      <c r="B98" s="111">
        <v>12095.1</v>
      </c>
      <c r="C98" s="112">
        <f>16376.6+53.4</f>
        <v>16430</v>
      </c>
      <c r="D98" s="113">
        <f>101+2.6+598.7+1.6+2603.8+3.8+0.7+1149.5+2.1+129.3+1033.7+0.3+164.7+461.5+907.4+167.5+105.4+83.7+677.1+35.3+47.9+8.7+62.1+35+659.5+47.8+1.1+7.6+40+127.4</f>
        <v>9266.8</v>
      </c>
      <c r="E98" s="114">
        <f>D98/D97*100</f>
        <v>13.35369983428201</v>
      </c>
      <c r="F98" s="115">
        <f t="shared" si="11"/>
        <v>76.61615034187398</v>
      </c>
      <c r="G98" s="116">
        <f>D98/C98*100</f>
        <v>56.40170419963481</v>
      </c>
      <c r="H98" s="117">
        <f t="shared" si="12"/>
        <v>2828.300000000001</v>
      </c>
      <c r="I98" s="106">
        <f>C98-D98</f>
        <v>7163.200000000001</v>
      </c>
    </row>
    <row r="99" spans="1:10" ht="8.25" customHeight="1" thickBot="1">
      <c r="A99" s="15"/>
      <c r="B99" s="39"/>
      <c r="C99" s="47"/>
      <c r="D99" s="48"/>
      <c r="E99" s="6"/>
      <c r="F99" s="6"/>
      <c r="G99" s="6"/>
      <c r="H99" s="48"/>
      <c r="I99" s="48"/>
      <c r="J99" s="128"/>
    </row>
    <row r="100" spans="1:10" ht="19.5" hidden="1" thickBot="1">
      <c r="A100" s="23" t="s">
        <v>35</v>
      </c>
      <c r="B100" s="54"/>
      <c r="C100" s="55"/>
      <c r="D100" s="56"/>
      <c r="E100" s="3">
        <f>D100/D156*100</f>
        <v>0</v>
      </c>
      <c r="F100" s="3"/>
      <c r="G100" s="3" t="e">
        <f>D100/C100*100</f>
        <v>#DIV/0!</v>
      </c>
      <c r="H100" s="36"/>
      <c r="I100" s="36">
        <f>C100-D100</f>
        <v>0</v>
      </c>
      <c r="J100" s="128"/>
    </row>
    <row r="101" spans="1:10" ht="5.25" customHeight="1" hidden="1" thickBot="1">
      <c r="A101" s="22"/>
      <c r="B101" s="51"/>
      <c r="C101" s="52"/>
      <c r="D101" s="53"/>
      <c r="E101" s="12"/>
      <c r="F101" s="6"/>
      <c r="G101" s="6"/>
      <c r="H101" s="48"/>
      <c r="I101" s="130"/>
      <c r="J101" s="128"/>
    </row>
    <row r="102" spans="1:10" s="13" customFormat="1" ht="36" customHeight="1" hidden="1" thickBot="1">
      <c r="A102" s="11" t="s">
        <v>49</v>
      </c>
      <c r="B102" s="41"/>
      <c r="C102" s="35"/>
      <c r="D102" s="36"/>
      <c r="E102" s="3">
        <f>D102/D156*100</f>
        <v>0</v>
      </c>
      <c r="F102" s="3" t="e">
        <f>D102/B102*100</f>
        <v>#DIV/0!</v>
      </c>
      <c r="G102" s="3" t="e">
        <f>D102/C102*100</f>
        <v>#DIV/0!</v>
      </c>
      <c r="H102" s="36">
        <f>B102-D102</f>
        <v>0</v>
      </c>
      <c r="I102" s="36">
        <f>C102-D102</f>
        <v>0</v>
      </c>
      <c r="J102" s="126"/>
    </row>
    <row r="103" spans="1:10" ht="6.75" customHeight="1" hidden="1" thickBot="1">
      <c r="A103" s="131"/>
      <c r="B103" s="132"/>
      <c r="C103" s="52"/>
      <c r="D103" s="53"/>
      <c r="E103" s="12"/>
      <c r="F103" s="6"/>
      <c r="G103" s="6"/>
      <c r="H103" s="48"/>
      <c r="I103" s="130"/>
      <c r="J103" s="128"/>
    </row>
    <row r="104" spans="1:10" s="29" customFormat="1" ht="19.5" thickBot="1">
      <c r="A104" s="11" t="s">
        <v>9</v>
      </c>
      <c r="B104" s="81">
        <f>55607.6-685-30.3</f>
        <v>54892.299999999996</v>
      </c>
      <c r="C104" s="64">
        <f>73778+7.6+15.1-60.1+7.6-42.3+7.6+46-0.1-685-35+3511.2</f>
        <v>76550.6</v>
      </c>
      <c r="D104" s="60">
        <f>152.2+12.4+164.7+14+1585.4+13.1+10.2+18+148.6+2141.8+73.9+131.3+1879.3+351.3+97.1+16.6+48.3+0.1+592.9+250.5+1840.9+85.4+148.3-0.2+534.2+1861+58.9+713.5+44.9+41.8+28.7+0.2+244.7+2133+95.9+222.1+227.2+5.1+12.2+1874.9+12+12.4+688.5+49.9+11+256+1932.3+55.7+189.7+89.6+226.4+270.6+59.6+10+1805.8+11.7+1.4+98.5+184.6+37.9+396.2+274.1+56.2+2+55.4+2219.8+21.1+622.2+60.7+180.9+79.2+0.6+1710.9+116.5+38.5+30.7+610.3+196.5+53.2+1580.1+1.8+275.5+317+1.4+24.8+61.7+64.6+204.3+1642.8+28.7+69.7+68.1+104.5+15+43.1+17.1+2.4+44.6+168.9+2012.4+101.5+4+60-0.1+215.1+41.8+48+5.7+1831.2+541.9+2009.6+34+4+34.5+81.4+37+1995.6+81.4</f>
        <v>44478.100000000006</v>
      </c>
      <c r="E104" s="16">
        <f>D104/D156*100</f>
        <v>2.7904610094696656</v>
      </c>
      <c r="F104" s="16">
        <f>D104/B104*100</f>
        <v>81.02794016647145</v>
      </c>
      <c r="G104" s="16">
        <f aca="true" t="shared" si="13" ref="G104:G154">D104/C104*100</f>
        <v>58.10287574493211</v>
      </c>
      <c r="H104" s="60">
        <f aca="true" t="shared" si="14" ref="H104:H154">B104-D104</f>
        <v>10414.19999999999</v>
      </c>
      <c r="I104" s="60">
        <f aca="true" t="shared" si="15" ref="I104:I154">C104-D104</f>
        <v>32072.5</v>
      </c>
      <c r="J104" s="83"/>
    </row>
    <row r="105" spans="1:9" s="128" customFormat="1" ht="18.75" customHeight="1">
      <c r="A105" s="88" t="s">
        <v>3</v>
      </c>
      <c r="B105" s="99">
        <v>380.5</v>
      </c>
      <c r="C105" s="100">
        <v>543.6</v>
      </c>
      <c r="D105" s="100">
        <f>19.3+40.4+6+27+20.5+24.8+29.6+28.9+1.8+28.7-0.1</f>
        <v>226.9</v>
      </c>
      <c r="E105" s="101">
        <f>D105/D104*100</f>
        <v>0.5101386974713398</v>
      </c>
      <c r="F105" s="92">
        <f>D105/B105*100</f>
        <v>59.632063074901446</v>
      </c>
      <c r="G105" s="101">
        <f>D105/C105*100</f>
        <v>41.74025018395879</v>
      </c>
      <c r="H105" s="100">
        <f t="shared" si="14"/>
        <v>153.6</v>
      </c>
      <c r="I105" s="100">
        <f t="shared" si="15"/>
        <v>316.70000000000005</v>
      </c>
    </row>
    <row r="106" spans="1:9" s="128" customFormat="1" ht="18">
      <c r="A106" s="102" t="s">
        <v>46</v>
      </c>
      <c r="B106" s="89">
        <f>49569.2-685-30.3</f>
        <v>48853.899999999994</v>
      </c>
      <c r="C106" s="90">
        <f>65554.9+7.6+15.1-60.1+45.6-3+37.7+7.6-160-18.9-685-35</f>
        <v>64706.50000000001</v>
      </c>
      <c r="D106" s="90">
        <f>152.1+12.4+164.7+14+1585.4+8+18+148.5+2111.8+73.9+131.3+1879.3+114.9+217.3+66.2+14+0.1+582.9+250.5+1833.3+55+120.2+529.4+1861+47.8+713.5+1.8+35.2+244.7+2133+95.9+222+164.6+40.2+5.1+1855.8+12+212.4+439.1+30.6+235.8+1919+31.6-10.2+186+56.4+59.6+10+1790.4+11.7+1.4+98.5+100+50+37.4+190.4+50.2+2+2219.7+82.3+53.4+153.9+45.8-0.1+1710.9+42.2+17.4+70.5+176+24.3+1559.4+1.8+223.8+10+38.2+317-9.8+1.4+24.8+61.7+20.4+193+1642.8+28.7+69.7+9.6+104.5-0.1+15+15.6+17.1+15+131.7+1979+72+4.06+59.8-0.1+32.8+136.3+41.8+37.1+5.7+1831.2+2+1935+15.5+4+5.8+81.4+1995.6-30.9+66.5</f>
        <v>40380.26000000002</v>
      </c>
      <c r="E106" s="92">
        <f>D106/D104*100</f>
        <v>90.78683666793323</v>
      </c>
      <c r="F106" s="92">
        <f aca="true" t="shared" si="16" ref="F106:F154">D106/B106*100</f>
        <v>82.65514114533337</v>
      </c>
      <c r="G106" s="92">
        <f t="shared" si="13"/>
        <v>62.40526067705719</v>
      </c>
      <c r="H106" s="90">
        <f t="shared" si="14"/>
        <v>8473.639999999978</v>
      </c>
      <c r="I106" s="90">
        <f t="shared" si="15"/>
        <v>24326.23999999999</v>
      </c>
    </row>
    <row r="107" spans="1:9" s="128" customFormat="1" ht="54.75" hidden="1" thickBot="1">
      <c r="A107" s="103" t="s">
        <v>77</v>
      </c>
      <c r="B107" s="104"/>
      <c r="C107" s="104"/>
      <c r="D107" s="104"/>
      <c r="E107" s="105">
        <f>D107/D104*100</f>
        <v>0</v>
      </c>
      <c r="F107" s="105" t="e">
        <f>D107/B107*100</f>
        <v>#DIV/0!</v>
      </c>
      <c r="G107" s="105" t="e">
        <f>D107/C107*100</f>
        <v>#DIV/0!</v>
      </c>
      <c r="H107" s="106">
        <f t="shared" si="14"/>
        <v>0</v>
      </c>
      <c r="I107" s="106">
        <f>C107-D107</f>
        <v>0</v>
      </c>
    </row>
    <row r="108" spans="1:9" s="128" customFormat="1" ht="18.75" thickBot="1">
      <c r="A108" s="103" t="s">
        <v>25</v>
      </c>
      <c r="B108" s="104">
        <f>B104-B105-B106</f>
        <v>5657.9000000000015</v>
      </c>
      <c r="C108" s="104">
        <f>C104-C105-C106</f>
        <v>11300.499999999993</v>
      </c>
      <c r="D108" s="104">
        <f>D104-D105-D106</f>
        <v>3870.939999999988</v>
      </c>
      <c r="E108" s="105">
        <f>D108/D104*100</f>
        <v>8.703024634595424</v>
      </c>
      <c r="F108" s="105">
        <f t="shared" si="16"/>
        <v>68.41655031018551</v>
      </c>
      <c r="G108" s="105">
        <f t="shared" si="13"/>
        <v>34.254590504844835</v>
      </c>
      <c r="H108" s="166">
        <f t="shared" si="14"/>
        <v>1786.9600000000137</v>
      </c>
      <c r="I108" s="106">
        <f t="shared" si="15"/>
        <v>7429.560000000005</v>
      </c>
    </row>
    <row r="109" spans="1:10" s="2" customFormat="1" ht="26.25" customHeight="1" thickBot="1">
      <c r="A109" s="61" t="s">
        <v>26</v>
      </c>
      <c r="B109" s="62">
        <f>SUM(B110:B153)-B117-B122+B154-B144-B145-B111-B114-B125-B126-B142-B135-B133-B140-B120</f>
        <v>459081.50000000006</v>
      </c>
      <c r="C109" s="62">
        <f>SUM(C110:C153)-C117-C122+C154-C144-C145-C111-C114-C125-C126-C142-C135-C133-C140-C120</f>
        <v>635015.8</v>
      </c>
      <c r="D109" s="62">
        <f>SUM(D110:D153)-D117-D122+D154-D144-D145-D111-D114-D125-D126-D142-D135-D133-D140-D120</f>
        <v>424746.11979</v>
      </c>
      <c r="E109" s="63">
        <f>D109/D156*100</f>
        <v>26.64766449550513</v>
      </c>
      <c r="F109" s="63">
        <f>D109/B109*100</f>
        <v>92.52085300540317</v>
      </c>
      <c r="G109" s="63">
        <f t="shared" si="13"/>
        <v>66.88748843572081</v>
      </c>
      <c r="H109" s="62">
        <f t="shared" si="14"/>
        <v>34335.38021000003</v>
      </c>
      <c r="I109" s="62">
        <f t="shared" si="15"/>
        <v>210269.68021000002</v>
      </c>
      <c r="J109" s="96"/>
    </row>
    <row r="110" spans="1:9" s="128" customFormat="1" ht="37.5">
      <c r="A110" s="143" t="s">
        <v>50</v>
      </c>
      <c r="B110" s="144">
        <f>3077.2+195</f>
        <v>3272.2</v>
      </c>
      <c r="C110" s="124">
        <f>4983.7+195</f>
        <v>5178.7</v>
      </c>
      <c r="D110" s="84">
        <f>1.8+140.5+138.5+0.9+33+80.9+13.3+0.1+53.3+109+1.4+124.9+19.8+24.9+9+3.6+91.3+61.8+18.7+59+14.7+34.7+0.1+2.2+3.8+2.1+129.5+15.3+0.5-0.3+15.6+0.9+145.2+1.4+33.8+73+26.3+109.9+61.1+11.7+3.2-0.1+0.6+6.1+144.6+0.5+9.9+3.3+47+128.6</f>
        <v>2010.8999999999996</v>
      </c>
      <c r="E110" s="85">
        <f>D110/D109*100</f>
        <v>0.4734357552210753</v>
      </c>
      <c r="F110" s="85">
        <f t="shared" si="16"/>
        <v>61.45406759977996</v>
      </c>
      <c r="G110" s="85">
        <f t="shared" si="13"/>
        <v>38.83020835344777</v>
      </c>
      <c r="H110" s="86">
        <f t="shared" si="14"/>
        <v>1261.3000000000002</v>
      </c>
      <c r="I110" s="86">
        <f t="shared" si="15"/>
        <v>3167.8</v>
      </c>
    </row>
    <row r="111" spans="1:9" s="128" customFormat="1" ht="18">
      <c r="A111" s="88" t="s">
        <v>23</v>
      </c>
      <c r="B111" s="89">
        <v>1360.6</v>
      </c>
      <c r="C111" s="90">
        <v>2332.2</v>
      </c>
      <c r="D111" s="91">
        <f>2.4+138.5+0.9+33.1+80.9+53.3+1.8+1.1+124.9+24.9+6.2+38.5+59+14.7+33.9+0.6+2.3+35.5+60-0.1+40.7+47</f>
        <v>800.1</v>
      </c>
      <c r="E111" s="92">
        <f>D111/D110*100</f>
        <v>39.78815455766076</v>
      </c>
      <c r="F111" s="92">
        <f t="shared" si="16"/>
        <v>58.80493899750111</v>
      </c>
      <c r="G111" s="92">
        <f t="shared" si="13"/>
        <v>34.306663236429124</v>
      </c>
      <c r="H111" s="90">
        <f t="shared" si="14"/>
        <v>560.4999999999999</v>
      </c>
      <c r="I111" s="90">
        <f t="shared" si="15"/>
        <v>1532.1</v>
      </c>
    </row>
    <row r="112" spans="1:9" s="128" customFormat="1" ht="34.5" customHeight="1" hidden="1">
      <c r="A112" s="145" t="s">
        <v>76</v>
      </c>
      <c r="B112" s="146"/>
      <c r="C112" s="86"/>
      <c r="D112" s="84"/>
      <c r="E112" s="85">
        <f>D112/D109*100</f>
        <v>0</v>
      </c>
      <c r="F112" s="85" t="e">
        <f>D112/B112*100</f>
        <v>#DIV/0!</v>
      </c>
      <c r="G112" s="85" t="e">
        <f t="shared" si="13"/>
        <v>#DIV/0!</v>
      </c>
      <c r="H112" s="86">
        <f t="shared" si="14"/>
        <v>0</v>
      </c>
      <c r="I112" s="86">
        <f t="shared" si="15"/>
        <v>0</v>
      </c>
    </row>
    <row r="113" spans="1:9" s="83" customFormat="1" ht="34.5" customHeight="1">
      <c r="A113" s="145" t="s">
        <v>91</v>
      </c>
      <c r="B113" s="146">
        <v>225</v>
      </c>
      <c r="C113" s="93">
        <v>300</v>
      </c>
      <c r="D113" s="94"/>
      <c r="E113" s="85">
        <f>D113/D109*100</f>
        <v>0</v>
      </c>
      <c r="F113" s="85">
        <f t="shared" si="16"/>
        <v>0</v>
      </c>
      <c r="G113" s="85">
        <f t="shared" si="13"/>
        <v>0</v>
      </c>
      <c r="H113" s="86">
        <f t="shared" si="14"/>
        <v>225</v>
      </c>
      <c r="I113" s="86">
        <f t="shared" si="15"/>
        <v>300</v>
      </c>
    </row>
    <row r="114" spans="1:9" s="128" customFormat="1" ht="18.75" customHeight="1" hidden="1">
      <c r="A114" s="88" t="s">
        <v>23</v>
      </c>
      <c r="B114" s="89"/>
      <c r="C114" s="90"/>
      <c r="D114" s="91"/>
      <c r="E114" s="92"/>
      <c r="F114" s="92" t="e">
        <f t="shared" si="16"/>
        <v>#DIV/0!</v>
      </c>
      <c r="G114" s="92" t="e">
        <f t="shared" si="13"/>
        <v>#DIV/0!</v>
      </c>
      <c r="H114" s="90">
        <f t="shared" si="14"/>
        <v>0</v>
      </c>
      <c r="I114" s="90">
        <f t="shared" si="15"/>
        <v>0</v>
      </c>
    </row>
    <row r="115" spans="1:9" s="128" customFormat="1" ht="18.75" customHeight="1" hidden="1">
      <c r="A115" s="145" t="s">
        <v>87</v>
      </c>
      <c r="B115" s="146"/>
      <c r="C115" s="86"/>
      <c r="D115" s="84"/>
      <c r="E115" s="85">
        <f>D115/D109*100</f>
        <v>0</v>
      </c>
      <c r="F115" s="85" t="e">
        <f t="shared" si="16"/>
        <v>#DIV/0!</v>
      </c>
      <c r="G115" s="85" t="e">
        <f t="shared" si="13"/>
        <v>#DIV/0!</v>
      </c>
      <c r="H115" s="86">
        <f t="shared" si="14"/>
        <v>0</v>
      </c>
      <c r="I115" s="86">
        <f t="shared" si="15"/>
        <v>0</v>
      </c>
    </row>
    <row r="116" spans="1:11" s="128" customFormat="1" ht="37.5">
      <c r="A116" s="145" t="s">
        <v>36</v>
      </c>
      <c r="B116" s="146">
        <v>4331.6</v>
      </c>
      <c r="C116" s="86">
        <v>5785.2</v>
      </c>
      <c r="D116" s="84">
        <f>187.7+10.4+531.5+38.4+44.9+0.1+53.3+13.7+14.6+4.3+409.7+22.6+33.2+12.9+10.1+431+0.1+44.6+9.7+432.7+17.3+360.1+31.7-0.1+261.4+138.4+11.8+4.8+433.3+0.1</f>
        <v>3564.3</v>
      </c>
      <c r="E116" s="85">
        <f>D116/D109*100</f>
        <v>0.839160108575503</v>
      </c>
      <c r="F116" s="85">
        <f t="shared" si="16"/>
        <v>82.28599131960476</v>
      </c>
      <c r="G116" s="85">
        <f t="shared" si="13"/>
        <v>61.61066168844639</v>
      </c>
      <c r="H116" s="86">
        <f t="shared" si="14"/>
        <v>767.3000000000002</v>
      </c>
      <c r="I116" s="86">
        <f t="shared" si="15"/>
        <v>2220.8999999999996</v>
      </c>
      <c r="K116" s="150">
        <f>H124+H143</f>
        <v>1060</v>
      </c>
    </row>
    <row r="117" spans="1:9" s="128" customFormat="1" ht="18" hidden="1">
      <c r="A117" s="147" t="s">
        <v>41</v>
      </c>
      <c r="B117" s="89"/>
      <c r="C117" s="90"/>
      <c r="D117" s="91"/>
      <c r="E117" s="85"/>
      <c r="F117" s="85" t="e">
        <f t="shared" si="16"/>
        <v>#DIV/0!</v>
      </c>
      <c r="G117" s="92" t="e">
        <f t="shared" si="13"/>
        <v>#DIV/0!</v>
      </c>
      <c r="H117" s="90">
        <f t="shared" si="14"/>
        <v>0</v>
      </c>
      <c r="I117" s="90">
        <f t="shared" si="15"/>
        <v>0</v>
      </c>
    </row>
    <row r="118" spans="1:9" s="83" customFormat="1" ht="18.75" customHeight="1" hidden="1">
      <c r="A118" s="145" t="s">
        <v>88</v>
      </c>
      <c r="B118" s="146"/>
      <c r="C118" s="93"/>
      <c r="D118" s="94"/>
      <c r="E118" s="95">
        <f>D118/D109*100</f>
        <v>0</v>
      </c>
      <c r="F118" s="85" t="e">
        <f t="shared" si="16"/>
        <v>#DIV/0!</v>
      </c>
      <c r="G118" s="95" t="e">
        <f t="shared" si="13"/>
        <v>#DIV/0!</v>
      </c>
      <c r="H118" s="93">
        <f t="shared" si="14"/>
        <v>0</v>
      </c>
      <c r="I118" s="93">
        <f t="shared" si="15"/>
        <v>0</v>
      </c>
    </row>
    <row r="119" spans="1:9" s="128" customFormat="1" ht="37.5" hidden="1">
      <c r="A119" s="145" t="s">
        <v>45</v>
      </c>
      <c r="B119" s="146"/>
      <c r="C119" s="86"/>
      <c r="D119" s="84"/>
      <c r="E119" s="85">
        <f>D119/D109*100</f>
        <v>0</v>
      </c>
      <c r="F119" s="85" t="e">
        <f>D119/B119*100</f>
        <v>#DIV/0!</v>
      </c>
      <c r="G119" s="85" t="e">
        <f t="shared" si="13"/>
        <v>#DIV/0!</v>
      </c>
      <c r="H119" s="86">
        <f t="shared" si="14"/>
        <v>0</v>
      </c>
      <c r="I119" s="86">
        <f t="shared" si="15"/>
        <v>0</v>
      </c>
    </row>
    <row r="120" spans="1:9" s="128" customFormat="1" ht="18" hidden="1">
      <c r="A120" s="147" t="s">
        <v>86</v>
      </c>
      <c r="B120" s="89"/>
      <c r="C120" s="90"/>
      <c r="D120" s="91"/>
      <c r="E120" s="92" t="e">
        <f>D120/D119*100</f>
        <v>#DIV/0!</v>
      </c>
      <c r="F120" s="92" t="e">
        <f>D120/B120*100</f>
        <v>#DIV/0!</v>
      </c>
      <c r="G120" s="92" t="e">
        <f>D120/C120*100</f>
        <v>#DIV/0!</v>
      </c>
      <c r="H120" s="90">
        <f>B120-D120</f>
        <v>0</v>
      </c>
      <c r="I120" s="90">
        <f>C120-D120</f>
        <v>0</v>
      </c>
    </row>
    <row r="121" spans="1:9" s="96" customFormat="1" ht="18.75">
      <c r="A121" s="145" t="s">
        <v>13</v>
      </c>
      <c r="B121" s="146">
        <v>729.2</v>
      </c>
      <c r="C121" s="93">
        <v>1024.8</v>
      </c>
      <c r="D121" s="84">
        <f>80.5+0.2+38.8+80.5+0.8+10+10.3+80.5+16.8+0.3+4+80.5+10+10+0.3+0.8+80.5+1.1+1.1+0.2+0.4</f>
        <v>507.6000000000001</v>
      </c>
      <c r="E121" s="85">
        <f>D121/D109*100</f>
        <v>0.11950668325138888</v>
      </c>
      <c r="F121" s="85">
        <f t="shared" si="16"/>
        <v>69.61053208996161</v>
      </c>
      <c r="G121" s="85">
        <f t="shared" si="13"/>
        <v>49.53161592505856</v>
      </c>
      <c r="H121" s="86">
        <f t="shared" si="14"/>
        <v>221.59999999999997</v>
      </c>
      <c r="I121" s="86">
        <f t="shared" si="15"/>
        <v>517.1999999999998</v>
      </c>
    </row>
    <row r="122" spans="1:9" s="97" customFormat="1" ht="18">
      <c r="A122" s="147" t="s">
        <v>41</v>
      </c>
      <c r="B122" s="89">
        <v>483.1</v>
      </c>
      <c r="C122" s="90">
        <v>724.7</v>
      </c>
      <c r="D122" s="91">
        <f>80.5+80.5+80.5+80.5+0.1+80.5</f>
        <v>402.6</v>
      </c>
      <c r="E122" s="92">
        <f>D122/D121*100</f>
        <v>79.3144208037825</v>
      </c>
      <c r="F122" s="92">
        <f t="shared" si="16"/>
        <v>83.33678327468434</v>
      </c>
      <c r="G122" s="92">
        <f t="shared" si="13"/>
        <v>55.554022354077546</v>
      </c>
      <c r="H122" s="90">
        <f t="shared" si="14"/>
        <v>80.5</v>
      </c>
      <c r="I122" s="90">
        <f t="shared" si="15"/>
        <v>322.1</v>
      </c>
    </row>
    <row r="123" spans="1:9" s="96" customFormat="1" ht="18.75">
      <c r="A123" s="145" t="s">
        <v>102</v>
      </c>
      <c r="B123" s="146">
        <f>275-160.5</f>
        <v>114.5</v>
      </c>
      <c r="C123" s="93">
        <f>347-160.5</f>
        <v>186.5</v>
      </c>
      <c r="D123" s="84">
        <f>34.5+13.8+4.3+21.7</f>
        <v>74.3</v>
      </c>
      <c r="E123" s="85">
        <f>D123/D109*100</f>
        <v>0.017492802532659953</v>
      </c>
      <c r="F123" s="85">
        <f t="shared" si="16"/>
        <v>64.89082969432314</v>
      </c>
      <c r="G123" s="85">
        <f t="shared" si="13"/>
        <v>39.839142091152816</v>
      </c>
      <c r="H123" s="86">
        <f t="shared" si="14"/>
        <v>40.2</v>
      </c>
      <c r="I123" s="86">
        <f t="shared" si="15"/>
        <v>112.2</v>
      </c>
    </row>
    <row r="124" spans="1:9" s="96" customFormat="1" ht="21.75" customHeight="1">
      <c r="A124" s="145" t="s">
        <v>92</v>
      </c>
      <c r="B124" s="146">
        <v>917.6</v>
      </c>
      <c r="C124" s="93">
        <f>86+920</f>
        <v>1006</v>
      </c>
      <c r="D124" s="94">
        <f>54.4+15.9+15.6+12.1</f>
        <v>97.99999999999999</v>
      </c>
      <c r="E124" s="95">
        <f>D124/D109*100</f>
        <v>0.023072606301489572</v>
      </c>
      <c r="F124" s="85">
        <f t="shared" si="16"/>
        <v>10.68003487358326</v>
      </c>
      <c r="G124" s="85">
        <f t="shared" si="13"/>
        <v>9.741550695825048</v>
      </c>
      <c r="H124" s="86">
        <f t="shared" si="14"/>
        <v>819.6</v>
      </c>
      <c r="I124" s="86">
        <f t="shared" si="15"/>
        <v>908</v>
      </c>
    </row>
    <row r="125" spans="1:9" s="98" customFormat="1" ht="18" hidden="1">
      <c r="A125" s="88" t="s">
        <v>78</v>
      </c>
      <c r="B125" s="89"/>
      <c r="C125" s="90"/>
      <c r="D125" s="91"/>
      <c r="E125" s="85"/>
      <c r="F125" s="92" t="e">
        <f>D125/B125*100</f>
        <v>#DIV/0!</v>
      </c>
      <c r="G125" s="92" t="e">
        <f t="shared" si="13"/>
        <v>#DIV/0!</v>
      </c>
      <c r="H125" s="90">
        <f t="shared" si="14"/>
        <v>0</v>
      </c>
      <c r="I125" s="90">
        <f t="shared" si="15"/>
        <v>0</v>
      </c>
    </row>
    <row r="126" spans="1:9" s="98" customFormat="1" ht="18" hidden="1">
      <c r="A126" s="88" t="s">
        <v>47</v>
      </c>
      <c r="B126" s="89"/>
      <c r="C126" s="90"/>
      <c r="D126" s="91"/>
      <c r="E126" s="85"/>
      <c r="F126" s="92" t="e">
        <f>D126/B126*100</f>
        <v>#DIV/0!</v>
      </c>
      <c r="G126" s="92" t="e">
        <f t="shared" si="13"/>
        <v>#DIV/0!</v>
      </c>
      <c r="H126" s="90">
        <f t="shared" si="14"/>
        <v>0</v>
      </c>
      <c r="I126" s="90">
        <f t="shared" si="15"/>
        <v>0</v>
      </c>
    </row>
    <row r="127" spans="1:13" s="157" customFormat="1" ht="37.5">
      <c r="A127" s="158" t="s">
        <v>93</v>
      </c>
      <c r="B127" s="151">
        <v>15569.7</v>
      </c>
      <c r="C127" s="159">
        <f>6156.2+17413.5-8000</f>
        <v>15569.7</v>
      </c>
      <c r="D127" s="160">
        <f>871.9+408.1+585.9+900.5+901.8+879.7+893+994.8+887.7+852.4+0.1+789.7+988.1+754.9+941.7+788.3+949.6+785.4+882.7</f>
        <v>15056.300000000001</v>
      </c>
      <c r="E127" s="161">
        <f>D127/D109*100</f>
        <v>3.5447763495624236</v>
      </c>
      <c r="F127" s="162">
        <f t="shared" si="16"/>
        <v>96.70256973480542</v>
      </c>
      <c r="G127" s="162">
        <f t="shared" si="13"/>
        <v>96.70256973480542</v>
      </c>
      <c r="H127" s="163">
        <f t="shared" si="14"/>
        <v>513.3999999999996</v>
      </c>
      <c r="I127" s="163">
        <f t="shared" si="15"/>
        <v>513.3999999999996</v>
      </c>
      <c r="J127" s="164"/>
      <c r="K127" s="165">
        <f>H110+H113+H116+H121+H123+H129+H130+H132+H134+H138+H139+H141+H150+H70+H128</f>
        <v>5214.26538</v>
      </c>
      <c r="L127" s="164"/>
      <c r="M127" s="164"/>
    </row>
    <row r="128" spans="1:11" s="96" customFormat="1" ht="18.75">
      <c r="A128" s="145" t="s">
        <v>89</v>
      </c>
      <c r="B128" s="146">
        <v>96</v>
      </c>
      <c r="C128" s="93">
        <v>150</v>
      </c>
      <c r="D128" s="94"/>
      <c r="E128" s="95">
        <f>D128/D109*100</f>
        <v>0</v>
      </c>
      <c r="F128" s="85">
        <f t="shared" si="16"/>
        <v>0</v>
      </c>
      <c r="G128" s="85">
        <f t="shared" si="13"/>
        <v>0</v>
      </c>
      <c r="H128" s="86">
        <f t="shared" si="14"/>
        <v>96</v>
      </c>
      <c r="I128" s="86">
        <f t="shared" si="15"/>
        <v>150</v>
      </c>
      <c r="K128" s="87">
        <f>H111+H142</f>
        <v>711.3999999999999</v>
      </c>
    </row>
    <row r="129" spans="1:13" s="96" customFormat="1" ht="37.5">
      <c r="A129" s="145" t="s">
        <v>98</v>
      </c>
      <c r="B129" s="146">
        <v>483</v>
      </c>
      <c r="C129" s="93">
        <v>483</v>
      </c>
      <c r="D129" s="94">
        <f>2.2+72.4</f>
        <v>74.60000000000001</v>
      </c>
      <c r="E129" s="95">
        <f>D129/D109*100</f>
        <v>0.017563432960113493</v>
      </c>
      <c r="F129" s="85">
        <f t="shared" si="16"/>
        <v>15.44513457556936</v>
      </c>
      <c r="G129" s="85">
        <f t="shared" si="13"/>
        <v>15.44513457556936</v>
      </c>
      <c r="H129" s="86">
        <f t="shared" si="14"/>
        <v>408.4</v>
      </c>
      <c r="I129" s="86">
        <f t="shared" si="15"/>
        <v>408.4</v>
      </c>
      <c r="K129" s="87">
        <f>H133+H140</f>
        <v>478.8999999999999</v>
      </c>
      <c r="M129" s="87"/>
    </row>
    <row r="130" spans="1:13" s="96" customFormat="1" ht="37.5" hidden="1">
      <c r="A130" s="145" t="s">
        <v>83</v>
      </c>
      <c r="B130" s="146">
        <f>154.3-154.3</f>
        <v>0</v>
      </c>
      <c r="C130" s="93">
        <f>154.3-154.3</f>
        <v>0</v>
      </c>
      <c r="D130" s="94"/>
      <c r="E130" s="95">
        <f>D130/D109*100</f>
        <v>0</v>
      </c>
      <c r="F130" s="85" t="e">
        <f t="shared" si="16"/>
        <v>#DIV/0!</v>
      </c>
      <c r="G130" s="85" t="e">
        <f t="shared" si="13"/>
        <v>#DIV/0!</v>
      </c>
      <c r="H130" s="86">
        <f t="shared" si="14"/>
        <v>0</v>
      </c>
      <c r="I130" s="86">
        <f t="shared" si="15"/>
        <v>0</v>
      </c>
      <c r="M130" s="87"/>
    </row>
    <row r="131" spans="1:9" s="96" customFormat="1" ht="18.75" hidden="1">
      <c r="A131" s="147" t="s">
        <v>81</v>
      </c>
      <c r="B131" s="146"/>
      <c r="C131" s="93"/>
      <c r="D131" s="94"/>
      <c r="E131" s="95">
        <f>D131/D110*100</f>
        <v>0</v>
      </c>
      <c r="F131" s="85" t="e">
        <f t="shared" si="16"/>
        <v>#DIV/0!</v>
      </c>
      <c r="G131" s="85" t="e">
        <f t="shared" si="13"/>
        <v>#DIV/0!</v>
      </c>
      <c r="H131" s="86">
        <f t="shared" si="14"/>
        <v>0</v>
      </c>
      <c r="I131" s="86">
        <f t="shared" si="15"/>
        <v>0</v>
      </c>
    </row>
    <row r="132" spans="1:13" s="96" customFormat="1" ht="37.5">
      <c r="A132" s="145" t="s">
        <v>55</v>
      </c>
      <c r="B132" s="146">
        <v>845.9</v>
      </c>
      <c r="C132" s="93">
        <v>1003.9</v>
      </c>
      <c r="D132" s="94">
        <f>7.7+12.9+7.7+2.8+0.3+0.9+48+9.2+16+18.7+7+7.7+1.3+0.4+12+8.8+4.3+4.6+2.7+28.5+7.2+7.7-0.1</f>
        <v>216.3</v>
      </c>
      <c r="E132" s="95">
        <f>D132/D109*100</f>
        <v>0.05092453819400199</v>
      </c>
      <c r="F132" s="85">
        <f t="shared" si="16"/>
        <v>25.570398392244947</v>
      </c>
      <c r="G132" s="85">
        <f t="shared" si="13"/>
        <v>21.545970714214565</v>
      </c>
      <c r="H132" s="86">
        <f t="shared" si="14"/>
        <v>629.5999999999999</v>
      </c>
      <c r="I132" s="86">
        <f t="shared" si="15"/>
        <v>787.5999999999999</v>
      </c>
      <c r="M132" s="87"/>
    </row>
    <row r="133" spans="1:13" s="97" customFormat="1" ht="18">
      <c r="A133" s="88" t="s">
        <v>86</v>
      </c>
      <c r="B133" s="89">
        <v>516.8</v>
      </c>
      <c r="C133" s="90">
        <v>553.3</v>
      </c>
      <c r="D133" s="91">
        <f>7.7+48+7.7+7.7+7.7+7.7+7.7-0.1</f>
        <v>94.10000000000002</v>
      </c>
      <c r="E133" s="92">
        <f>D133/D132*100</f>
        <v>43.50439204808138</v>
      </c>
      <c r="F133" s="92">
        <f>D133/B133*100</f>
        <v>18.20820433436533</v>
      </c>
      <c r="G133" s="92">
        <f t="shared" si="13"/>
        <v>17.007048617386594</v>
      </c>
      <c r="H133" s="90">
        <f t="shared" si="14"/>
        <v>422.69999999999993</v>
      </c>
      <c r="I133" s="90">
        <f t="shared" si="15"/>
        <v>459.19999999999993</v>
      </c>
      <c r="M133" s="121"/>
    </row>
    <row r="134" spans="1:9" s="96" customFormat="1" ht="37.5">
      <c r="A134" s="145" t="s">
        <v>101</v>
      </c>
      <c r="B134" s="146">
        <f>125-20</f>
        <v>105</v>
      </c>
      <c r="C134" s="93">
        <f>250-20</f>
        <v>230</v>
      </c>
      <c r="D134" s="94">
        <v>9.6</v>
      </c>
      <c r="E134" s="95">
        <f>D134/D109*100</f>
        <v>0.002260173678513264</v>
      </c>
      <c r="F134" s="85">
        <f t="shared" si="16"/>
        <v>9.142857142857142</v>
      </c>
      <c r="G134" s="85">
        <f t="shared" si="13"/>
        <v>4.173913043478261</v>
      </c>
      <c r="H134" s="86">
        <f t="shared" si="14"/>
        <v>95.4</v>
      </c>
      <c r="I134" s="86">
        <f t="shared" si="15"/>
        <v>220.4</v>
      </c>
    </row>
    <row r="135" spans="1:9" s="97" customFormat="1" ht="18" hidden="1">
      <c r="A135" s="147" t="s">
        <v>41</v>
      </c>
      <c r="B135" s="89"/>
      <c r="C135" s="90"/>
      <c r="D135" s="91"/>
      <c r="E135" s="92"/>
      <c r="F135" s="92" t="e">
        <f>D135/B135*100</f>
        <v>#DIV/0!</v>
      </c>
      <c r="G135" s="92" t="e">
        <f t="shared" si="13"/>
        <v>#DIV/0!</v>
      </c>
      <c r="H135" s="90">
        <f t="shared" si="14"/>
        <v>0</v>
      </c>
      <c r="I135" s="90">
        <f t="shared" si="15"/>
        <v>0</v>
      </c>
    </row>
    <row r="136" spans="1:9" s="96" customFormat="1" ht="35.25" customHeight="1" hidden="1">
      <c r="A136" s="145" t="s">
        <v>100</v>
      </c>
      <c r="B136" s="146"/>
      <c r="C136" s="93"/>
      <c r="D136" s="94"/>
      <c r="E136" s="95">
        <f>D136/D109*100</f>
        <v>0</v>
      </c>
      <c r="F136" s="85" t="e">
        <f t="shared" si="16"/>
        <v>#DIV/0!</v>
      </c>
      <c r="G136" s="85" t="e">
        <f t="shared" si="13"/>
        <v>#DIV/0!</v>
      </c>
      <c r="H136" s="86">
        <f t="shared" si="14"/>
        <v>0</v>
      </c>
      <c r="I136" s="86">
        <f>C136-D136</f>
        <v>0</v>
      </c>
    </row>
    <row r="137" spans="1:9" s="96" customFormat="1" ht="21.75" customHeight="1" hidden="1">
      <c r="A137" s="145" t="s">
        <v>99</v>
      </c>
      <c r="B137" s="146"/>
      <c r="C137" s="93"/>
      <c r="D137" s="94"/>
      <c r="E137" s="95">
        <f>D137/D109*100</f>
        <v>0</v>
      </c>
      <c r="F137" s="85" t="e">
        <f t="shared" si="16"/>
        <v>#DIV/0!</v>
      </c>
      <c r="G137" s="85" t="e">
        <f t="shared" si="13"/>
        <v>#DIV/0!</v>
      </c>
      <c r="H137" s="86">
        <f t="shared" si="14"/>
        <v>0</v>
      </c>
      <c r="I137" s="86">
        <f t="shared" si="15"/>
        <v>0</v>
      </c>
    </row>
    <row r="138" spans="1:9" s="96" customFormat="1" ht="35.25" customHeight="1">
      <c r="A138" s="145" t="s">
        <v>85</v>
      </c>
      <c r="B138" s="151">
        <v>2043.9</v>
      </c>
      <c r="C138" s="93">
        <v>2964.5</v>
      </c>
      <c r="D138" s="94">
        <f>203+174+113.5+76.2+55.5+17.2+64.2+103.9+40.9+12.5+10.2+13.3+28.3+0.1+10.1+19.9+1.8+49.6</f>
        <v>994.2</v>
      </c>
      <c r="E138" s="95">
        <f>D138/D109*100</f>
        <v>0.23406923658102996</v>
      </c>
      <c r="F138" s="85">
        <f t="shared" si="16"/>
        <v>48.642301482460006</v>
      </c>
      <c r="G138" s="85">
        <f t="shared" si="13"/>
        <v>33.536852757631976</v>
      </c>
      <c r="H138" s="86">
        <f t="shared" si="14"/>
        <v>1049.7</v>
      </c>
      <c r="I138" s="86">
        <f t="shared" si="15"/>
        <v>1970.3</v>
      </c>
    </row>
    <row r="139" spans="1:9" s="96" customFormat="1" ht="39" customHeight="1">
      <c r="A139" s="145" t="s">
        <v>52</v>
      </c>
      <c r="B139" s="146">
        <f>270-72.4</f>
        <v>197.6</v>
      </c>
      <c r="C139" s="93">
        <f>350-72.4</f>
        <v>277.6</v>
      </c>
      <c r="D139" s="94">
        <f>30+1.3+13+17.4+1.4+1.8-0.1+8+1.1+2.9+39.6</f>
        <v>116.4</v>
      </c>
      <c r="E139" s="95">
        <f>D139/D109*100</f>
        <v>0.027404605851973334</v>
      </c>
      <c r="F139" s="85">
        <f t="shared" si="16"/>
        <v>58.90688259109312</v>
      </c>
      <c r="G139" s="85">
        <f t="shared" si="13"/>
        <v>41.930835734870314</v>
      </c>
      <c r="H139" s="86">
        <f t="shared" si="14"/>
        <v>81.19999999999999</v>
      </c>
      <c r="I139" s="86">
        <f t="shared" si="15"/>
        <v>161.20000000000002</v>
      </c>
    </row>
    <row r="140" spans="1:9" s="97" customFormat="1" ht="18">
      <c r="A140" s="88" t="s">
        <v>86</v>
      </c>
      <c r="B140" s="89">
        <f>95-30</f>
        <v>65</v>
      </c>
      <c r="C140" s="90">
        <f>110-30</f>
        <v>80</v>
      </c>
      <c r="D140" s="91">
        <f>1.3+0.4+1.4+1.8-0.1+1.1+2.9</f>
        <v>8.8</v>
      </c>
      <c r="E140" s="92"/>
      <c r="F140" s="85">
        <f>D140/B140*100</f>
        <v>13.53846153846154</v>
      </c>
      <c r="G140" s="92">
        <f>D140/C140*100</f>
        <v>11.000000000000002</v>
      </c>
      <c r="H140" s="90">
        <f>B140-D140</f>
        <v>56.2</v>
      </c>
      <c r="I140" s="90">
        <f>C140-D140</f>
        <v>71.2</v>
      </c>
    </row>
    <row r="141" spans="1:9" s="96" customFormat="1" ht="40.5" customHeight="1">
      <c r="A141" s="145" t="s">
        <v>82</v>
      </c>
      <c r="B141" s="146">
        <v>455</v>
      </c>
      <c r="C141" s="93">
        <v>642.9</v>
      </c>
      <c r="D141" s="94">
        <f>3.4+29.8+0.5+0.6+0.5+7+95+1+3.4+1.6+21.9+0.5+0.2+14.5+1.1+4.5+5.3+14.7+1.23462+4.7+11.1+4.8+0.3+0.3+3.4+16.7+0.7</f>
        <v>248.73462</v>
      </c>
      <c r="E141" s="95">
        <f>D141/D109*100</f>
        <v>0.058560775110312394</v>
      </c>
      <c r="F141" s="85">
        <f>D141/B141*100</f>
        <v>54.66694945054945</v>
      </c>
      <c r="G141" s="85">
        <f>D141/C141*100</f>
        <v>38.68947270181988</v>
      </c>
      <c r="H141" s="86">
        <f t="shared" si="14"/>
        <v>206.26538</v>
      </c>
      <c r="I141" s="86">
        <f t="shared" si="15"/>
        <v>394.16537999999997</v>
      </c>
    </row>
    <row r="142" spans="1:9" s="97" customFormat="1" ht="18">
      <c r="A142" s="88" t="s">
        <v>23</v>
      </c>
      <c r="B142" s="89">
        <v>365</v>
      </c>
      <c r="C142" s="90">
        <v>524.9</v>
      </c>
      <c r="D142" s="91">
        <f>0.4+29.8+0.5+0.6+95+0.7+18.5+0.5+14.5+1.1+4.5+14.8+1.2+11.1+4.8+0.2+15.2+0.7</f>
        <v>214.09999999999997</v>
      </c>
      <c r="E142" s="92">
        <f>D142/D141*100</f>
        <v>86.07567374416958</v>
      </c>
      <c r="F142" s="92">
        <f t="shared" si="16"/>
        <v>58.65753424657534</v>
      </c>
      <c r="G142" s="92">
        <f>D142/C142*100</f>
        <v>40.78872166126881</v>
      </c>
      <c r="H142" s="90">
        <f t="shared" si="14"/>
        <v>150.90000000000003</v>
      </c>
      <c r="I142" s="90">
        <f t="shared" si="15"/>
        <v>310.8</v>
      </c>
    </row>
    <row r="143" spans="1:9" s="96" customFormat="1" ht="18.75">
      <c r="A143" s="145" t="s">
        <v>94</v>
      </c>
      <c r="B143" s="146">
        <v>1818.9</v>
      </c>
      <c r="C143" s="93">
        <v>2262.8</v>
      </c>
      <c r="D143" s="94">
        <f>33.6+100.1+61.4+1.9+88.9+76.4+140.9+13.9+60.1+109.3+18.6+51.1+12+15.7+91.6+92.9+151.5+21.4+117.4-12.2+110+74.1+147.9</f>
        <v>1578.5000000000002</v>
      </c>
      <c r="E143" s="95">
        <f>D143/D109*100</f>
        <v>0.37163376578470714</v>
      </c>
      <c r="F143" s="85">
        <f t="shared" si="16"/>
        <v>86.783220627852</v>
      </c>
      <c r="G143" s="85">
        <f t="shared" si="13"/>
        <v>69.75870602793</v>
      </c>
      <c r="H143" s="86">
        <f t="shared" si="14"/>
        <v>240.39999999999986</v>
      </c>
      <c r="I143" s="86">
        <f t="shared" si="15"/>
        <v>684.3</v>
      </c>
    </row>
    <row r="144" spans="1:9" s="97" customFormat="1" ht="18">
      <c r="A144" s="147" t="s">
        <v>41</v>
      </c>
      <c r="B144" s="89">
        <v>1469.3</v>
      </c>
      <c r="C144" s="90">
        <v>1867.4</v>
      </c>
      <c r="D144" s="91">
        <f>33.6+99.1+51.9+81.4+59+82.2+5.6+57.6+68.8+16.1-2.2+47.6+70.6+83.7+114.7+20.9+115.1+0.1+80.1+70.3+136.9</f>
        <v>1293.1000000000001</v>
      </c>
      <c r="E144" s="92">
        <f>D144/D143*100</f>
        <v>81.91954387076338</v>
      </c>
      <c r="F144" s="92">
        <f t="shared" si="16"/>
        <v>88.00789491594638</v>
      </c>
      <c r="G144" s="92">
        <f t="shared" si="13"/>
        <v>69.24601049587662</v>
      </c>
      <c r="H144" s="90">
        <f t="shared" si="14"/>
        <v>176.19999999999982</v>
      </c>
      <c r="I144" s="90">
        <f t="shared" si="15"/>
        <v>574.3</v>
      </c>
    </row>
    <row r="145" spans="1:9" s="97" customFormat="1" ht="18">
      <c r="A145" s="88" t="s">
        <v>23</v>
      </c>
      <c r="B145" s="89">
        <v>30.6</v>
      </c>
      <c r="C145" s="90">
        <v>48</v>
      </c>
      <c r="D145" s="91">
        <f>9.3+7.4+6+0.1+2.5+0.1+0.1+1+0.5+0.4</f>
        <v>27.400000000000006</v>
      </c>
      <c r="E145" s="92">
        <f>D145/D143*100</f>
        <v>1.735825150459297</v>
      </c>
      <c r="F145" s="92">
        <f t="shared" si="16"/>
        <v>89.54248366013073</v>
      </c>
      <c r="G145" s="92">
        <f>D145/C145*100</f>
        <v>57.08333333333334</v>
      </c>
      <c r="H145" s="90">
        <f t="shared" si="14"/>
        <v>3.1999999999999957</v>
      </c>
      <c r="I145" s="90">
        <f t="shared" si="15"/>
        <v>20.599999999999994</v>
      </c>
    </row>
    <row r="146" spans="1:9" s="96" customFormat="1" ht="33.75" customHeight="1">
      <c r="A146" s="142" t="s">
        <v>54</v>
      </c>
      <c r="B146" s="146">
        <v>961</v>
      </c>
      <c r="C146" s="93">
        <v>961</v>
      </c>
      <c r="D146" s="94">
        <f>563+398</f>
        <v>961</v>
      </c>
      <c r="E146" s="95">
        <f>D146/D109*100</f>
        <v>0.2262528026095049</v>
      </c>
      <c r="F146" s="85">
        <f t="shared" si="16"/>
        <v>100</v>
      </c>
      <c r="G146" s="85">
        <f t="shared" si="13"/>
        <v>100</v>
      </c>
      <c r="H146" s="86">
        <f t="shared" si="14"/>
        <v>0</v>
      </c>
      <c r="I146" s="86">
        <f t="shared" si="15"/>
        <v>0</v>
      </c>
    </row>
    <row r="147" spans="1:9" s="96" customFormat="1" ht="18.75" hidden="1">
      <c r="A147" s="142" t="s">
        <v>90</v>
      </c>
      <c r="B147" s="146"/>
      <c r="C147" s="93"/>
      <c r="D147" s="94"/>
      <c r="E147" s="95">
        <f>D147/D109*100</f>
        <v>0</v>
      </c>
      <c r="F147" s="85" t="e">
        <f>D147/B147*100</f>
        <v>#DIV/0!</v>
      </c>
      <c r="G147" s="85" t="e">
        <f t="shared" si="13"/>
        <v>#DIV/0!</v>
      </c>
      <c r="H147" s="86">
        <f t="shared" si="14"/>
        <v>0</v>
      </c>
      <c r="I147" s="86">
        <f t="shared" si="15"/>
        <v>0</v>
      </c>
    </row>
    <row r="148" spans="1:9" s="96" customFormat="1" ht="19.5" customHeight="1">
      <c r="A148" s="142" t="s">
        <v>95</v>
      </c>
      <c r="B148" s="155">
        <f>136625.9+2375.7</f>
        <v>139001.6</v>
      </c>
      <c r="C148" s="93">
        <f>148561.8-115.4-1283.5+4253.3</f>
        <v>151416.19999999998</v>
      </c>
      <c r="D148" s="94">
        <f>457.7+20.2+2395.4+103.8+376.7+1013.1+85.7+519.6+3989.1+192.1+9596.6+54.9+0.1+1136.8+45.8+142.4+633.4+904.4+5049.6+60.3+794.6+1729.3+2357+1916.4+610.8+432.8+777.3+690.7+110.8+5866.7+417+7410.2+1284.9+26.5-0.4+5739.9+1034.3+3540.7+767.6+4774.7+10767.4+32.2+629.6+927.9+1565.1+3028+858.1+427.6+997.7+2068.4+886.3+1119.7+4088.5+381.3+1551.1+4423+1571.7+1230.2+4995.4+3243.3+12.3+185.1+1701.9+0.2+419.6+1476.3+1580.8+455.5+5800.7+199+1072.5+49.4+786.8+11+895.3+761.7+2817.9</f>
        <v>130078</v>
      </c>
      <c r="E148" s="95">
        <f>D148/D109*100</f>
        <v>30.624882474338378</v>
      </c>
      <c r="F148" s="85">
        <f t="shared" si="16"/>
        <v>93.58021778166582</v>
      </c>
      <c r="G148" s="85">
        <f t="shared" si="13"/>
        <v>85.9075845253018</v>
      </c>
      <c r="H148" s="86">
        <f t="shared" si="14"/>
        <v>8923.600000000006</v>
      </c>
      <c r="I148" s="86">
        <f t="shared" si="15"/>
        <v>21338.199999999983</v>
      </c>
    </row>
    <row r="149" spans="1:9" s="96" customFormat="1" ht="18.75" hidden="1">
      <c r="A149" s="142" t="s">
        <v>84</v>
      </c>
      <c r="B149" s="155"/>
      <c r="C149" s="93"/>
      <c r="D149" s="94"/>
      <c r="E149" s="95">
        <f>D149/D109*100</f>
        <v>0</v>
      </c>
      <c r="F149" s="85" t="e">
        <f t="shared" si="16"/>
        <v>#DIV/0!</v>
      </c>
      <c r="G149" s="85" t="e">
        <f t="shared" si="13"/>
        <v>#DIV/0!</v>
      </c>
      <c r="H149" s="86">
        <f t="shared" si="14"/>
        <v>0</v>
      </c>
      <c r="I149" s="86">
        <f t="shared" si="15"/>
        <v>0</v>
      </c>
    </row>
    <row r="150" spans="1:9" s="96" customFormat="1" ht="18.75">
      <c r="A150" s="142" t="s">
        <v>108</v>
      </c>
      <c r="B150" s="155">
        <v>38</v>
      </c>
      <c r="C150" s="93">
        <v>50</v>
      </c>
      <c r="D150" s="94">
        <f>1+0.7+0.3+0.3+0.3+0.3</f>
        <v>2.8999999999999995</v>
      </c>
      <c r="E150" s="95">
        <f>D150/D111*100</f>
        <v>0.36245469316335455</v>
      </c>
      <c r="F150" s="85">
        <f>D150/B150*100</f>
        <v>7.6315789473684195</v>
      </c>
      <c r="G150" s="85">
        <f>D150/C150*100</f>
        <v>5.799999999999999</v>
      </c>
      <c r="H150" s="86">
        <f>B150-D150</f>
        <v>35.1</v>
      </c>
      <c r="I150" s="86">
        <f>C150-D150</f>
        <v>47.1</v>
      </c>
    </row>
    <row r="151" spans="1:9" s="96" customFormat="1" ht="18.75">
      <c r="A151" s="145" t="s">
        <v>96</v>
      </c>
      <c r="B151" s="155">
        <f>76.9-0.1</f>
        <v>76.80000000000001</v>
      </c>
      <c r="C151" s="93">
        <v>93.9</v>
      </c>
      <c r="D151" s="94">
        <f>29.5+25.8</f>
        <v>55.3</v>
      </c>
      <c r="E151" s="95">
        <f>D151/D109*100</f>
        <v>0.013019542127269116</v>
      </c>
      <c r="F151" s="85">
        <f t="shared" si="16"/>
        <v>72.00520833333331</v>
      </c>
      <c r="G151" s="85">
        <f t="shared" si="13"/>
        <v>58.89243876464323</v>
      </c>
      <c r="H151" s="86">
        <f t="shared" si="14"/>
        <v>21.500000000000014</v>
      </c>
      <c r="I151" s="86">
        <f t="shared" si="15"/>
        <v>38.60000000000001</v>
      </c>
    </row>
    <row r="152" spans="1:9" s="96" customFormat="1" ht="18" customHeight="1">
      <c r="A152" s="145" t="s">
        <v>75</v>
      </c>
      <c r="B152" s="155">
        <v>12146.8</v>
      </c>
      <c r="C152" s="93">
        <f>509.5+13731.5</f>
        <v>14241</v>
      </c>
      <c r="D152" s="94">
        <f>469.6+898.6+871.8+55+430.7+600.4+36+430.7-0.1+542+60.6+1510.5+423.8+77.7+719.5+23.4+379.6+98.9+504+871.8+627.7+0.1+17.7+73.7+685.9</f>
        <v>10409.600000000002</v>
      </c>
      <c r="E152" s="95">
        <f>D152/D109*100</f>
        <v>2.45078165873455</v>
      </c>
      <c r="F152" s="85">
        <f t="shared" si="16"/>
        <v>85.69829090789347</v>
      </c>
      <c r="G152" s="85">
        <f t="shared" si="13"/>
        <v>73.09599045010886</v>
      </c>
      <c r="H152" s="86">
        <f t="shared" si="14"/>
        <v>1737.199999999997</v>
      </c>
      <c r="I152" s="86">
        <f t="shared" si="15"/>
        <v>3831.399999999998</v>
      </c>
    </row>
    <row r="153" spans="1:9" s="96" customFormat="1" ht="19.5" customHeight="1">
      <c r="A153" s="145" t="s">
        <v>48</v>
      </c>
      <c r="B153" s="146">
        <f>185333.8+43780-3259.9-1145.3</f>
        <v>224708.6</v>
      </c>
      <c r="C153" s="93">
        <f>365455.9+155.1+4856-2795.8+8042.5-6175-6275.6</f>
        <v>363263.10000000003</v>
      </c>
      <c r="D153" s="94">
        <f>9702+30405.7+10266.3+91.6-29196.2+1482.1+9293.3+20631.5+2864.5+2072.8+10611.8+26.4-6447.8-3782.8-4677.3+4676.1-2746.7-2356.3-5820.8+6091.9+14434.9+3293.3-2161.9+2161.9+253+3208.6+2572.08517+1407.2+10069.6+3344.4+6615+376.8-14608.8+14620.5+18523+1876.7-4752.8-1622.1+226.9+16206.8-8028.9+5174.6+2737.1-2082.9+528.3+1434.8+168.7+5345.3+46084-5693.5+200.6+1784.9+262.9+230+1186.5+5036.8+1300+428.7+0.5+17710.5+10364.3</f>
        <v>213406.38516999997</v>
      </c>
      <c r="E153" s="95">
        <f>D153/D109*100</f>
        <v>50.24328068623931</v>
      </c>
      <c r="F153" s="85">
        <f t="shared" si="16"/>
        <v>94.97027936180456</v>
      </c>
      <c r="G153" s="85">
        <f t="shared" si="13"/>
        <v>58.74705830842713</v>
      </c>
      <c r="H153" s="86">
        <f t="shared" si="14"/>
        <v>11302.21483000004</v>
      </c>
      <c r="I153" s="86">
        <f>C153-D153</f>
        <v>149856.71483000007</v>
      </c>
    </row>
    <row r="154" spans="1:9" s="96" customFormat="1" ht="18.75">
      <c r="A154" s="145" t="s">
        <v>97</v>
      </c>
      <c r="B154" s="146">
        <v>50943.6</v>
      </c>
      <c r="C154" s="93">
        <v>67925</v>
      </c>
      <c r="D154" s="94">
        <f>1886.8+1886.8+1886.8+1886.8+1886.8+1886.8+1886.8+1886.8+1886.8+1886.8+1886.8+1886.8+1886.8+1886.8+1886.8+1886.8+1886.8+1886.8+1886.8+1886.8+1886.8+1886.8+1886.8+1886.8</f>
        <v>45283.20000000001</v>
      </c>
      <c r="E154" s="95">
        <f>D154/D109*100</f>
        <v>10.661239241547072</v>
      </c>
      <c r="F154" s="85">
        <f t="shared" si="16"/>
        <v>88.88888888888891</v>
      </c>
      <c r="G154" s="85">
        <f t="shared" si="13"/>
        <v>66.66647037173354</v>
      </c>
      <c r="H154" s="86">
        <f t="shared" si="14"/>
        <v>5660.399999999987</v>
      </c>
      <c r="I154" s="86">
        <f t="shared" si="15"/>
        <v>22641.79999999999</v>
      </c>
    </row>
    <row r="155" spans="1:9" s="2" customFormat="1" ht="19.5" thickBot="1">
      <c r="A155" s="26" t="s">
        <v>27</v>
      </c>
      <c r="B155" s="125"/>
      <c r="C155" s="58"/>
      <c r="D155" s="40">
        <f>D43+D70+D74+D79+D81+D89+D104+D109+D102+D86+D100</f>
        <v>469950.31979000004</v>
      </c>
      <c r="E155" s="14"/>
      <c r="F155" s="14"/>
      <c r="G155" s="6"/>
      <c r="H155" s="48"/>
      <c r="I155" s="40"/>
    </row>
    <row r="156" spans="1:11" ht="19.5" thickBot="1">
      <c r="A156" s="11" t="s">
        <v>16</v>
      </c>
      <c r="B156" s="36">
        <f>B6+B18+B33+B43+B52+B60+B70+B74+B79+B81+B89+B92+B97+B104+B109+B102+B86+B100+B46</f>
        <v>1854337.7000000002</v>
      </c>
      <c r="C156" s="36">
        <f>C6+C18+C33+C43+C52+C60+C70+C74+C79+C81+C89+C92+C97+C104+C109+C102+C86+C100+C46</f>
        <v>2507982.7</v>
      </c>
      <c r="D156" s="36">
        <f>D6+D18+D33+D43+D52+D60+D70+D74+D79+D81+D89+D92+D97+D104+D109+D102+D86+D100+D46</f>
        <v>1593933.7567900002</v>
      </c>
      <c r="E156" s="25">
        <v>100</v>
      </c>
      <c r="F156" s="3">
        <f>D156/B156*100</f>
        <v>85.95703774938083</v>
      </c>
      <c r="G156" s="3">
        <f aca="true" t="shared" si="17" ref="G156:G162">D156/C156*100</f>
        <v>63.55441593715938</v>
      </c>
      <c r="H156" s="36">
        <f>B156-D156</f>
        <v>260403.94320999994</v>
      </c>
      <c r="I156" s="36">
        <f aca="true" t="shared" si="18" ref="I156:I162">C156-D156</f>
        <v>914048.9432099999</v>
      </c>
      <c r="K156" s="129">
        <f>D156-114199.9-202905.8-214631.3-204053.8-222765.5+11.7-231911.7-174259.3+121.8-188776.5</f>
        <v>40563.45679000014</v>
      </c>
    </row>
    <row r="157" spans="1:9" ht="18.75">
      <c r="A157" s="15" t="s">
        <v>5</v>
      </c>
      <c r="B157" s="47">
        <f>B8+B20+B34+B53+B61+B93+B117+B122+B47+B144+B135+B105</f>
        <v>761121.0000000001</v>
      </c>
      <c r="C157" s="47">
        <f>C8+C20+C34+C53+C61+C93+C117+C122+C47+C144+C135+C105</f>
        <v>996750.1</v>
      </c>
      <c r="D157" s="47">
        <f>D8+D20+D34+D53+D61+D93+D117+D122+D47+D144+D135+D105</f>
        <v>660018.9000000001</v>
      </c>
      <c r="E157" s="6">
        <f>D157/D156*100</f>
        <v>41.408176292671186</v>
      </c>
      <c r="F157" s="6">
        <f aca="true" t="shared" si="19" ref="F157:F162">D157/B157*100</f>
        <v>86.71668499489569</v>
      </c>
      <c r="G157" s="6">
        <f t="shared" si="17"/>
        <v>66.21708891727226</v>
      </c>
      <c r="H157" s="48">
        <f aca="true" t="shared" si="20" ref="H157:H162">B157-D157</f>
        <v>101102.09999999998</v>
      </c>
      <c r="I157" s="57">
        <f t="shared" si="18"/>
        <v>336731.19999999984</v>
      </c>
    </row>
    <row r="158" spans="1:9" ht="18.75">
      <c r="A158" s="15" t="s">
        <v>0</v>
      </c>
      <c r="B158" s="86">
        <f>B11+B23+B36+B56+B63+B94+B50+B145+B111+B114+B98+B142+B131</f>
        <v>80698.00000000001</v>
      </c>
      <c r="C158" s="86">
        <f>C11+C23+C36+C56+C63+C94+C50+C145+C111+C114+C98+C142+C131</f>
        <v>125285.7</v>
      </c>
      <c r="D158" s="86">
        <f>D11+D23+D36+D56+D63+D94+D50+D145+D111+D114+D98+D142+D131</f>
        <v>64837.49999999996</v>
      </c>
      <c r="E158" s="6">
        <f>D158/D156*100</f>
        <v>4.06776628726248</v>
      </c>
      <c r="F158" s="6">
        <f t="shared" si="19"/>
        <v>80.34585739423524</v>
      </c>
      <c r="G158" s="6">
        <f t="shared" si="17"/>
        <v>51.75171627727663</v>
      </c>
      <c r="H158" s="48">
        <f>B158-D158</f>
        <v>15860.500000000051</v>
      </c>
      <c r="I158" s="57">
        <f t="shared" si="18"/>
        <v>60448.20000000003</v>
      </c>
    </row>
    <row r="159" spans="1:9" ht="18.75">
      <c r="A159" s="15" t="s">
        <v>1</v>
      </c>
      <c r="B159" s="135">
        <f>B22+B10+B55+B49+B62+B35+B126</f>
        <v>36359.4</v>
      </c>
      <c r="C159" s="135">
        <f>C22+C10+C55+C49+C62+C35+C126</f>
        <v>47947.700000000004</v>
      </c>
      <c r="D159" s="135">
        <f>D22+D10+D55+D49+D62+D35+D126</f>
        <v>28708.5</v>
      </c>
      <c r="E159" s="6">
        <f>D159/D156*100</f>
        <v>1.8011099819992284</v>
      </c>
      <c r="F159" s="6">
        <f t="shared" si="19"/>
        <v>78.95757355731942</v>
      </c>
      <c r="G159" s="6">
        <f t="shared" si="17"/>
        <v>59.87461338082952</v>
      </c>
      <c r="H159" s="48">
        <f t="shared" si="20"/>
        <v>7650.9000000000015</v>
      </c>
      <c r="I159" s="57">
        <f t="shared" si="18"/>
        <v>19239.200000000004</v>
      </c>
    </row>
    <row r="160" spans="1:9" ht="21" customHeight="1">
      <c r="A160" s="15" t="s">
        <v>12</v>
      </c>
      <c r="B160" s="135">
        <f>B12+B24+B106+B64+B38+B95+B133+B57+B140+B120+B44+B73</f>
        <v>66331.7</v>
      </c>
      <c r="C160" s="135">
        <f>C12+C24+C106+C64+C38+C95+C133+C57+C140+C120+C44+C73</f>
        <v>87271.40000000002</v>
      </c>
      <c r="D160" s="135">
        <f>D12+D24+D106+D64+D38+D95+D133+D57+D140+D120+D44+D73</f>
        <v>53641.460000000014</v>
      </c>
      <c r="E160" s="6">
        <f>D160/D156*100</f>
        <v>3.365350647195512</v>
      </c>
      <c r="F160" s="6">
        <f>D160/B160*100</f>
        <v>80.86851384782844</v>
      </c>
      <c r="G160" s="6">
        <f t="shared" si="17"/>
        <v>61.46510769851291</v>
      </c>
      <c r="H160" s="48">
        <f>B160-D160</f>
        <v>12690.239999999983</v>
      </c>
      <c r="I160" s="57">
        <f t="shared" si="18"/>
        <v>33629.94000000001</v>
      </c>
    </row>
    <row r="161" spans="1:9" ht="18.75">
      <c r="A161" s="15" t="s">
        <v>2</v>
      </c>
      <c r="B161" s="47">
        <f>B9+B21+B48+B54+B125</f>
        <v>81.10000000000001</v>
      </c>
      <c r="C161" s="47">
        <f>C9+C21+C48+C54+C125</f>
        <v>122.9</v>
      </c>
      <c r="D161" s="47">
        <f>D9+D21+D48+D54+D125</f>
        <v>38.49999999999999</v>
      </c>
      <c r="E161" s="6">
        <f>D161/D156*100</f>
        <v>0.002415407781910246</v>
      </c>
      <c r="F161" s="6">
        <f t="shared" si="19"/>
        <v>47.4722564734895</v>
      </c>
      <c r="G161" s="6">
        <f t="shared" si="17"/>
        <v>31.326281529698935</v>
      </c>
      <c r="H161" s="48">
        <f t="shared" si="20"/>
        <v>42.600000000000016</v>
      </c>
      <c r="I161" s="57">
        <f t="shared" si="18"/>
        <v>84.4</v>
      </c>
    </row>
    <row r="162" spans="1:9" ht="19.5" thickBot="1">
      <c r="A162" s="79" t="s">
        <v>25</v>
      </c>
      <c r="B162" s="59">
        <f>B156-B157-B158-B159-B160-B161</f>
        <v>909746.5000000002</v>
      </c>
      <c r="C162" s="59">
        <f>C156-C157-C158-C159-C160-C161</f>
        <v>1250604.9000000004</v>
      </c>
      <c r="D162" s="59">
        <f>D156-D157-D158-D159-D160-D161</f>
        <v>786688.8967900001</v>
      </c>
      <c r="E162" s="28">
        <f>D162/D156*100</f>
        <v>49.35518138308968</v>
      </c>
      <c r="F162" s="28">
        <f t="shared" si="19"/>
        <v>86.47341834126318</v>
      </c>
      <c r="G162" s="28">
        <f t="shared" si="17"/>
        <v>62.90467091485088</v>
      </c>
      <c r="H162" s="80">
        <f t="shared" si="20"/>
        <v>123057.60321000009</v>
      </c>
      <c r="I162" s="80">
        <f t="shared" si="18"/>
        <v>463916.0032100002</v>
      </c>
    </row>
    <row r="163" spans="7:8" ht="12.75">
      <c r="G163" s="133"/>
      <c r="H163" s="133"/>
    </row>
    <row r="164" spans="3:9" ht="12.75">
      <c r="C164" s="129"/>
      <c r="G164" s="133"/>
      <c r="H164" s="133"/>
      <c r="I164" s="133"/>
    </row>
    <row r="165" spans="4:8" ht="12.75">
      <c r="D165" s="129"/>
      <c r="G165" s="133"/>
      <c r="H165" s="133"/>
    </row>
    <row r="166" spans="7:8" ht="12.75">
      <c r="G166" s="133"/>
      <c r="H166" s="133"/>
    </row>
    <row r="167" spans="2:8" ht="12.75">
      <c r="B167" s="134"/>
      <c r="C167" s="134"/>
      <c r="D167" s="129"/>
      <c r="G167" s="133"/>
      <c r="H167" s="133"/>
    </row>
    <row r="168" spans="7:8" ht="12.75">
      <c r="G168" s="133"/>
      <c r="H168" s="133"/>
    </row>
    <row r="169" spans="2:8" ht="12.75">
      <c r="B169" s="134"/>
      <c r="C169" s="134"/>
      <c r="D169" s="134"/>
      <c r="G169" s="133"/>
      <c r="H169" s="133"/>
    </row>
    <row r="170" spans="2:8" ht="12.75">
      <c r="B170" s="134"/>
      <c r="G170" s="133"/>
      <c r="H170" s="133"/>
    </row>
    <row r="171" spans="2:8" ht="12.75">
      <c r="B171" s="134"/>
      <c r="C171" s="129"/>
      <c r="G171" s="133"/>
      <c r="H171" s="133"/>
    </row>
    <row r="172" spans="7:8" ht="12.75">
      <c r="G172" s="133"/>
      <c r="H172" s="133"/>
    </row>
    <row r="173" spans="7:8" ht="12.75">
      <c r="G173" s="133"/>
      <c r="H173" s="133"/>
    </row>
    <row r="174" spans="7:8" ht="12.75">
      <c r="G174" s="133"/>
      <c r="H174" s="133"/>
    </row>
    <row r="175" spans="7:8" ht="12.75">
      <c r="G175" s="133"/>
      <c r="H175" s="133"/>
    </row>
    <row r="176" spans="7:8" ht="12.75">
      <c r="G176" s="133"/>
      <c r="H176" s="133"/>
    </row>
    <row r="177" spans="3:8" ht="12.75">
      <c r="C177" s="129"/>
      <c r="G177" s="133"/>
      <c r="H177" s="133"/>
    </row>
    <row r="178" spans="7:8" ht="12.75">
      <c r="G178" s="133"/>
      <c r="H178" s="133"/>
    </row>
    <row r="179" spans="7:8" ht="12.75">
      <c r="G179" s="133"/>
      <c r="H179" s="133"/>
    </row>
    <row r="180" spans="7:8" ht="12.75">
      <c r="G180" s="133"/>
      <c r="H180" s="133"/>
    </row>
    <row r="181" spans="7:8" ht="12.75">
      <c r="G181" s="133"/>
      <c r="H181" s="133"/>
    </row>
    <row r="182" spans="7:8" ht="12.75">
      <c r="G182" s="133"/>
      <c r="H182" s="133"/>
    </row>
    <row r="183" spans="7:8" ht="12.75">
      <c r="G183" s="133"/>
      <c r="H183" s="133"/>
    </row>
    <row r="184" spans="7:8" ht="12.75">
      <c r="G184" s="133"/>
      <c r="H184" s="133"/>
    </row>
    <row r="185" spans="7:8" ht="12.75">
      <c r="G185" s="133"/>
      <c r="H185" s="133"/>
    </row>
    <row r="186" spans="7:8" ht="12.75">
      <c r="G186" s="133"/>
      <c r="H186" s="133"/>
    </row>
    <row r="187" spans="7:8" ht="12.75">
      <c r="G187" s="133"/>
      <c r="H187" s="133"/>
    </row>
    <row r="188" spans="7:8" ht="12.75">
      <c r="G188" s="133"/>
      <c r="H188" s="133"/>
    </row>
    <row r="189" spans="7:8" ht="12.75">
      <c r="G189" s="133"/>
      <c r="H189" s="133"/>
    </row>
    <row r="190" spans="7:8" ht="12.75">
      <c r="G190" s="133"/>
      <c r="H190" s="133"/>
    </row>
    <row r="191" spans="7:8" ht="12.75">
      <c r="G191" s="133"/>
      <c r="H191" s="133"/>
    </row>
    <row r="192" spans="7:8" ht="12.75">
      <c r="G192" s="133"/>
      <c r="H192" s="133"/>
    </row>
    <row r="193" spans="7:8" ht="12.75">
      <c r="G193" s="133"/>
      <c r="H193" s="133"/>
    </row>
    <row r="194" spans="7:8" ht="12.75">
      <c r="G194" s="133"/>
      <c r="H194" s="133"/>
    </row>
    <row r="195" spans="7:8" ht="12.75">
      <c r="G195" s="133"/>
      <c r="H195" s="133"/>
    </row>
    <row r="196" spans="7:8" ht="12.75">
      <c r="G196" s="133"/>
      <c r="H196" s="133"/>
    </row>
    <row r="197" spans="7:8" ht="12.75">
      <c r="G197" s="133"/>
      <c r="H197" s="133"/>
    </row>
    <row r="198" spans="7:8" ht="12.75">
      <c r="G198" s="133"/>
      <c r="H198" s="133"/>
    </row>
    <row r="199" spans="7:8" ht="12.75">
      <c r="G199" s="133"/>
      <c r="H199" s="133"/>
    </row>
    <row r="200" spans="7:8" ht="12.75">
      <c r="G200" s="133"/>
      <c r="H200" s="133"/>
    </row>
    <row r="201" spans="7:8" ht="12.75">
      <c r="G201" s="133"/>
      <c r="H201" s="133"/>
    </row>
    <row r="202" spans="7:8" ht="12.75">
      <c r="G202" s="133"/>
      <c r="H202" s="133"/>
    </row>
    <row r="203" spans="7:8" ht="12.75">
      <c r="G203" s="133"/>
      <c r="H203" s="133"/>
    </row>
    <row r="204" spans="7:8" ht="12.75">
      <c r="G204" s="133"/>
      <c r="H204" s="133"/>
    </row>
    <row r="205" spans="7:8" ht="12.75">
      <c r="G205" s="133"/>
      <c r="H205" s="133"/>
    </row>
    <row r="206" spans="7:8" ht="12.75">
      <c r="G206" s="133"/>
      <c r="H206" s="133"/>
    </row>
    <row r="207" spans="7:8" ht="12.75">
      <c r="G207" s="133"/>
      <c r="H207" s="133"/>
    </row>
    <row r="208" spans="7:8" ht="12.75">
      <c r="G208" s="133"/>
      <c r="H208" s="133"/>
    </row>
    <row r="209" spans="7:8" ht="12.75">
      <c r="G209" s="133"/>
      <c r="H209" s="133"/>
    </row>
    <row r="210" spans="7:8" ht="12.75">
      <c r="G210" s="133"/>
      <c r="H210" s="133"/>
    </row>
    <row r="211" spans="7:8" ht="12.75">
      <c r="G211" s="133"/>
      <c r="H211" s="133"/>
    </row>
    <row r="212" spans="7:8" ht="12.75">
      <c r="G212" s="133"/>
      <c r="H212" s="133"/>
    </row>
    <row r="213" spans="7:8" ht="12.75">
      <c r="G213" s="133"/>
      <c r="H213" s="133"/>
    </row>
    <row r="214" spans="7:8" ht="12.75">
      <c r="G214" s="133"/>
      <c r="H214" s="133"/>
    </row>
    <row r="215" spans="7:8" ht="12.75">
      <c r="G215" s="133"/>
      <c r="H215" s="133"/>
    </row>
    <row r="216" spans="7:8" ht="12.75">
      <c r="G216" s="133"/>
      <c r="H216" s="133"/>
    </row>
    <row r="217" spans="7:8" ht="12.75">
      <c r="G217" s="133"/>
      <c r="H217" s="133"/>
    </row>
    <row r="218" spans="7:8" ht="12.75">
      <c r="G218" s="133"/>
      <c r="H218" s="133"/>
    </row>
    <row r="219" spans="7:8" ht="12.75">
      <c r="G219" s="133"/>
      <c r="H219" s="133"/>
    </row>
    <row r="220" spans="7:8" ht="12.75">
      <c r="G220" s="133"/>
      <c r="H220" s="133"/>
    </row>
    <row r="221" spans="7:8" ht="12.75">
      <c r="G221" s="133"/>
      <c r="H221" s="133"/>
    </row>
    <row r="222" spans="7:8" ht="12.75">
      <c r="G222" s="133"/>
      <c r="H222" s="133"/>
    </row>
    <row r="223" spans="7:8" ht="12.75">
      <c r="G223" s="133"/>
      <c r="H223" s="133"/>
    </row>
    <row r="224" spans="7:8" ht="12.75">
      <c r="G224" s="133"/>
      <c r="H224" s="133"/>
    </row>
    <row r="225" spans="7:8" ht="12.75">
      <c r="G225" s="133"/>
      <c r="H225" s="133"/>
    </row>
    <row r="226" spans="7:8" ht="12.75">
      <c r="G226" s="133"/>
      <c r="H226" s="133"/>
    </row>
    <row r="227" spans="7:8" ht="12.75">
      <c r="G227" s="133"/>
      <c r="H227" s="133"/>
    </row>
    <row r="228" spans="7:8" ht="12.75">
      <c r="G228" s="133"/>
      <c r="H228" s="133"/>
    </row>
    <row r="229" spans="7:8" ht="12.75">
      <c r="G229" s="133"/>
      <c r="H229" s="133"/>
    </row>
    <row r="230" spans="7:8" ht="12.75">
      <c r="G230" s="133"/>
      <c r="H230" s="133"/>
    </row>
    <row r="231" spans="7:8" ht="12.75">
      <c r="G231" s="133"/>
      <c r="H231" s="133"/>
    </row>
    <row r="232" spans="7:8" ht="12.75">
      <c r="G232" s="133"/>
      <c r="H232" s="133"/>
    </row>
    <row r="233" spans="7:8" ht="12.75">
      <c r="G233" s="133"/>
      <c r="H233" s="133"/>
    </row>
    <row r="234" spans="7:8" ht="12.75">
      <c r="G234" s="133"/>
      <c r="H234" s="133"/>
    </row>
    <row r="235" spans="7:8" ht="12.75">
      <c r="G235" s="133"/>
      <c r="H235" s="133"/>
    </row>
    <row r="236" spans="7:8" ht="12.75">
      <c r="G236" s="133"/>
      <c r="H236" s="133"/>
    </row>
    <row r="237" spans="7:8" ht="12.75">
      <c r="G237" s="133"/>
      <c r="H237" s="133"/>
    </row>
    <row r="238" spans="7:8" ht="12.75">
      <c r="G238" s="133"/>
      <c r="H238" s="133"/>
    </row>
    <row r="239" spans="7:8" ht="12.75">
      <c r="G239" s="133"/>
      <c r="H239" s="133"/>
    </row>
    <row r="240" spans="7:8" ht="12.75">
      <c r="G240" s="133"/>
      <c r="H240" s="133"/>
    </row>
    <row r="241" spans="7:8" ht="12.75">
      <c r="G241" s="133"/>
      <c r="H241" s="133"/>
    </row>
    <row r="242" spans="7:8" ht="12.75">
      <c r="G242" s="133"/>
      <c r="H242" s="133"/>
    </row>
    <row r="243" spans="7:8" ht="12.75">
      <c r="G243" s="133"/>
      <c r="H243" s="133"/>
    </row>
    <row r="244" spans="7:8" ht="12.75">
      <c r="G244" s="133"/>
      <c r="H244" s="133"/>
    </row>
    <row r="245" spans="7:8" ht="12.75">
      <c r="G245" s="133"/>
      <c r="H245" s="133"/>
    </row>
    <row r="246" spans="7:8" ht="12.75">
      <c r="G246" s="133"/>
      <c r="H246" s="133"/>
    </row>
    <row r="247" spans="7:8" ht="12.75">
      <c r="G247" s="133"/>
      <c r="H247" s="133"/>
    </row>
    <row r="248" spans="7:8" ht="12.75">
      <c r="G248" s="133"/>
      <c r="H248" s="133"/>
    </row>
    <row r="249" spans="7:8" ht="12.75">
      <c r="G249" s="133"/>
      <c r="H249" s="133"/>
    </row>
    <row r="250" spans="7:8" ht="12.75">
      <c r="G250" s="133"/>
      <c r="H250" s="133"/>
    </row>
    <row r="251" spans="7:8" ht="12.75">
      <c r="G251" s="133"/>
      <c r="H251" s="133"/>
    </row>
    <row r="252" spans="7:8" ht="12.75">
      <c r="G252" s="133"/>
      <c r="H252" s="133"/>
    </row>
    <row r="253" spans="7:8" ht="12.75">
      <c r="G253" s="133"/>
      <c r="H253" s="133"/>
    </row>
    <row r="254" spans="7:8" ht="12.75">
      <c r="G254" s="133"/>
      <c r="H254" s="133"/>
    </row>
    <row r="255" spans="7:8" ht="12.75">
      <c r="G255" s="133"/>
      <c r="H255" s="133"/>
    </row>
    <row r="256" spans="7:8" ht="12.75">
      <c r="G256" s="133"/>
      <c r="H256" s="133"/>
    </row>
    <row r="257" spans="7:8" ht="12.75">
      <c r="G257" s="133"/>
      <c r="H257" s="133"/>
    </row>
    <row r="258" spans="7:8" ht="12.75">
      <c r="G258" s="133"/>
      <c r="H258" s="133"/>
    </row>
    <row r="259" spans="7:8" ht="12.75">
      <c r="G259" s="133"/>
      <c r="H259" s="133"/>
    </row>
    <row r="260" spans="7:8" ht="12.75">
      <c r="G260" s="133"/>
      <c r="H260" s="133"/>
    </row>
    <row r="261" spans="7:8" ht="12.75">
      <c r="G261" s="133"/>
      <c r="H261" s="133"/>
    </row>
    <row r="262" spans="7:8" ht="12.75">
      <c r="G262" s="133"/>
      <c r="H262" s="133"/>
    </row>
    <row r="263" spans="7:8" ht="12.75">
      <c r="G263" s="133"/>
      <c r="H263" s="133"/>
    </row>
    <row r="264" spans="7:8" ht="12.75">
      <c r="G264" s="133"/>
      <c r="H264" s="133"/>
    </row>
    <row r="265" spans="7:8" ht="12.75">
      <c r="G265" s="133"/>
      <c r="H265" s="133"/>
    </row>
    <row r="266" spans="7:8" ht="12.75">
      <c r="G266" s="133"/>
      <c r="H266" s="133"/>
    </row>
    <row r="267" spans="7:8" ht="12.75">
      <c r="G267" s="133"/>
      <c r="H267" s="133"/>
    </row>
    <row r="268" spans="7:8" ht="12.75">
      <c r="G268" s="133"/>
      <c r="H268" s="133"/>
    </row>
    <row r="269" spans="7:8" ht="12.75">
      <c r="G269" s="133"/>
      <c r="H269" s="133"/>
    </row>
    <row r="270" spans="7:8" ht="12.75">
      <c r="G270" s="133"/>
      <c r="H270" s="133"/>
    </row>
    <row r="271" spans="7:8" ht="12.75">
      <c r="G271" s="133"/>
      <c r="H271" s="133"/>
    </row>
    <row r="272" spans="7:8" ht="12.75">
      <c r="G272" s="133"/>
      <c r="H272" s="133"/>
    </row>
    <row r="273" spans="7:8" ht="12.75">
      <c r="G273" s="133"/>
      <c r="H273" s="133"/>
    </row>
    <row r="274" spans="7:8" ht="12.75">
      <c r="G274" s="133"/>
      <c r="H274" s="133"/>
    </row>
    <row r="275" spans="7:8" ht="12.75">
      <c r="G275" s="133"/>
      <c r="H275" s="133"/>
    </row>
    <row r="276" spans="7:8" ht="12.75">
      <c r="G276" s="133"/>
      <c r="H276" s="133"/>
    </row>
    <row r="277" spans="7:8" ht="12.75">
      <c r="G277" s="133"/>
      <c r="H277" s="133"/>
    </row>
    <row r="278" spans="7:8" ht="12.75">
      <c r="G278" s="133"/>
      <c r="H278" s="133"/>
    </row>
    <row r="279" spans="7:8" ht="12.75">
      <c r="G279" s="133"/>
      <c r="H279" s="133"/>
    </row>
    <row r="280" spans="7:8" ht="12.75">
      <c r="G280" s="133"/>
      <c r="H280" s="133"/>
    </row>
    <row r="281" spans="7:8" ht="12.75">
      <c r="G281" s="133"/>
      <c r="H281" s="133"/>
    </row>
    <row r="282" spans="7:8" ht="12.75">
      <c r="G282" s="133"/>
      <c r="H282" s="133"/>
    </row>
    <row r="283" spans="7:8" ht="12.75">
      <c r="G283" s="133"/>
      <c r="H283" s="133"/>
    </row>
    <row r="284" spans="7:8" ht="12.75">
      <c r="G284" s="133"/>
      <c r="H284" s="133"/>
    </row>
    <row r="285" spans="7:8" ht="12.75">
      <c r="G285" s="133"/>
      <c r="H285" s="133"/>
    </row>
    <row r="286" spans="7:8" ht="12.75">
      <c r="G286" s="133"/>
      <c r="H286" s="133"/>
    </row>
    <row r="287" spans="7:8" ht="12.75">
      <c r="G287" s="133"/>
      <c r="H287" s="133"/>
    </row>
    <row r="288" spans="7:8" ht="12.75">
      <c r="G288" s="133"/>
      <c r="H288" s="133"/>
    </row>
    <row r="289" spans="7:8" ht="12.75">
      <c r="G289" s="133"/>
      <c r="H289" s="133"/>
    </row>
    <row r="290" spans="7:8" ht="12.75">
      <c r="G290" s="133"/>
      <c r="H290" s="133"/>
    </row>
    <row r="291" spans="7:8" ht="12.75">
      <c r="G291" s="133"/>
      <c r="H291" s="133"/>
    </row>
    <row r="292" spans="7:8" ht="12.75">
      <c r="G292" s="133"/>
      <c r="H292" s="133"/>
    </row>
    <row r="293" spans="7:8" ht="12.75">
      <c r="G293" s="133"/>
      <c r="H293" s="133"/>
    </row>
    <row r="294" spans="7:8" ht="12.75">
      <c r="G294" s="133"/>
      <c r="H294" s="133"/>
    </row>
    <row r="295" spans="7:8" ht="12.75">
      <c r="G295" s="133"/>
      <c r="H295" s="133"/>
    </row>
    <row r="296" spans="7:8" ht="12.75">
      <c r="G296" s="133"/>
      <c r="H296" s="133"/>
    </row>
    <row r="297" spans="7:8" ht="12.75">
      <c r="G297" s="133"/>
      <c r="H297" s="133"/>
    </row>
    <row r="298" spans="7:8" ht="12.75">
      <c r="G298" s="133"/>
      <c r="H298" s="133"/>
    </row>
    <row r="299" spans="7:8" ht="12.75">
      <c r="G299" s="133"/>
      <c r="H299" s="133"/>
    </row>
    <row r="300" spans="7:8" ht="12.75">
      <c r="G300" s="133"/>
      <c r="H300" s="133"/>
    </row>
    <row r="301" spans="7:8" ht="12.75">
      <c r="G301" s="133"/>
      <c r="H301" s="133"/>
    </row>
    <row r="302" spans="7:8" ht="12.75">
      <c r="G302" s="133"/>
      <c r="H302" s="133"/>
    </row>
    <row r="303" spans="7:8" ht="12.75">
      <c r="G303" s="133"/>
      <c r="H303" s="133"/>
    </row>
    <row r="304" spans="7:8" ht="12.75">
      <c r="G304" s="133"/>
      <c r="H304" s="133"/>
    </row>
    <row r="305" spans="7:8" ht="12.75">
      <c r="G305" s="133"/>
      <c r="H305" s="133"/>
    </row>
    <row r="306" spans="7:8" ht="12.75">
      <c r="G306" s="133"/>
      <c r="H306" s="133"/>
    </row>
    <row r="307" spans="7:8" ht="12.75">
      <c r="G307" s="133"/>
      <c r="H307" s="133"/>
    </row>
    <row r="308" spans="7:8" ht="12.75">
      <c r="G308" s="133"/>
      <c r="H308" s="133"/>
    </row>
    <row r="309" spans="7:8" ht="12.75">
      <c r="G309" s="133"/>
      <c r="H309" s="133"/>
    </row>
    <row r="310" spans="7:8" ht="12.75">
      <c r="G310" s="133"/>
      <c r="H310" s="133"/>
    </row>
    <row r="311" spans="7:8" ht="12.75">
      <c r="G311" s="133"/>
      <c r="H311" s="133"/>
    </row>
    <row r="312" spans="7:8" ht="12.75">
      <c r="G312" s="133"/>
      <c r="H312" s="133"/>
    </row>
    <row r="313" spans="7:8" ht="12.75">
      <c r="G313" s="133"/>
      <c r="H313" s="133"/>
    </row>
    <row r="314" spans="7:8" ht="12.75">
      <c r="G314" s="133"/>
      <c r="H314" s="133"/>
    </row>
    <row r="315" spans="7:8" ht="12.75">
      <c r="G315" s="133"/>
      <c r="H315" s="133"/>
    </row>
    <row r="316" spans="7:8" ht="12.75">
      <c r="G316" s="133"/>
      <c r="H316" s="133"/>
    </row>
    <row r="317" spans="7:8" ht="12.75">
      <c r="G317" s="133"/>
      <c r="H317" s="133"/>
    </row>
    <row r="318" spans="7:8" ht="12.75">
      <c r="G318" s="133"/>
      <c r="H318" s="133"/>
    </row>
    <row r="319" spans="7:8" ht="12.75">
      <c r="G319" s="133"/>
      <c r="H319" s="133"/>
    </row>
    <row r="320" spans="7:8" ht="12.75">
      <c r="G320" s="133"/>
      <c r="H320" s="133"/>
    </row>
    <row r="321" spans="7:8" ht="12.75">
      <c r="G321" s="133"/>
      <c r="H321" s="133"/>
    </row>
    <row r="322" spans="7:8" ht="12.75">
      <c r="G322" s="133"/>
      <c r="H322" s="133"/>
    </row>
    <row r="323" spans="7:8" ht="12.75">
      <c r="G323" s="133"/>
      <c r="H323" s="133"/>
    </row>
    <row r="324" spans="7:8" ht="12.75">
      <c r="G324" s="133"/>
      <c r="H324" s="133"/>
    </row>
    <row r="325" spans="7:8" ht="12.75">
      <c r="G325" s="133"/>
      <c r="H325" s="133"/>
    </row>
    <row r="326" spans="7:8" ht="12.75">
      <c r="G326" s="133"/>
      <c r="H326" s="133"/>
    </row>
    <row r="327" spans="7:8" ht="12.75">
      <c r="G327" s="133"/>
      <c r="H327" s="133"/>
    </row>
    <row r="328" spans="7:8" ht="12.75">
      <c r="G328" s="133"/>
      <c r="H328" s="133"/>
    </row>
    <row r="329" spans="7:8" ht="12.75">
      <c r="G329" s="133"/>
      <c r="H329" s="133"/>
    </row>
    <row r="330" spans="7:8" ht="12.75">
      <c r="G330" s="133"/>
      <c r="H330" s="133"/>
    </row>
    <row r="331" spans="7:8" ht="12.75">
      <c r="G331" s="133"/>
      <c r="H331" s="133"/>
    </row>
    <row r="332" spans="7:8" ht="12.75">
      <c r="G332" s="133"/>
      <c r="H332" s="133"/>
    </row>
    <row r="333" spans="7:8" ht="12.75">
      <c r="G333" s="133"/>
      <c r="H333" s="133"/>
    </row>
    <row r="334" spans="7:8" ht="12.75">
      <c r="G334" s="133"/>
      <c r="H334" s="133"/>
    </row>
    <row r="335" spans="7:8" ht="12.75">
      <c r="G335" s="133"/>
      <c r="H335" s="133"/>
    </row>
    <row r="336" spans="7:8" ht="12.75">
      <c r="G336" s="133"/>
      <c r="H336" s="133"/>
    </row>
    <row r="337" spans="7:8" ht="12.75">
      <c r="G337" s="133"/>
      <c r="H337" s="133"/>
    </row>
    <row r="338" spans="7:8" ht="12.75">
      <c r="G338" s="133"/>
      <c r="H338" s="133"/>
    </row>
    <row r="339" spans="7:8" ht="12.75">
      <c r="G339" s="133"/>
      <c r="H339" s="133"/>
    </row>
    <row r="340" spans="7:8" ht="12.75">
      <c r="G340" s="133"/>
      <c r="H340" s="133"/>
    </row>
    <row r="341" spans="7:8" ht="12.75">
      <c r="G341" s="133"/>
      <c r="H341" s="133"/>
    </row>
    <row r="342" spans="7:8" ht="12.75">
      <c r="G342" s="133"/>
      <c r="H342" s="133"/>
    </row>
    <row r="343" spans="7:8" ht="12.75">
      <c r="G343" s="133"/>
      <c r="H343" s="133"/>
    </row>
    <row r="344" spans="7:8" ht="12.75">
      <c r="G344" s="133"/>
      <c r="H344" s="133"/>
    </row>
    <row r="345" spans="7:8" ht="12.75">
      <c r="G345" s="133"/>
      <c r="H345" s="133"/>
    </row>
    <row r="346" spans="7:8" ht="12.75">
      <c r="G346" s="133"/>
      <c r="H346" s="133"/>
    </row>
    <row r="347" spans="7:8" ht="12.75">
      <c r="G347" s="133"/>
      <c r="H347" s="133"/>
    </row>
    <row r="348" spans="7:8" ht="12.75">
      <c r="G348" s="133"/>
      <c r="H348" s="133"/>
    </row>
    <row r="349" spans="7:8" ht="12.75">
      <c r="G349" s="133"/>
      <c r="H349" s="133"/>
    </row>
    <row r="350" spans="7:8" ht="12.75">
      <c r="G350" s="133"/>
      <c r="H350" s="133"/>
    </row>
    <row r="351" spans="7:8" ht="12.75">
      <c r="G351" s="133"/>
      <c r="H351" s="133"/>
    </row>
    <row r="352" spans="7:8" ht="12.75">
      <c r="G352" s="133"/>
      <c r="H352" s="133"/>
    </row>
    <row r="353" spans="7:8" ht="12.75">
      <c r="G353" s="133"/>
      <c r="H353" s="133"/>
    </row>
    <row r="354" spans="7:8" ht="12.75">
      <c r="G354" s="133"/>
      <c r="H354" s="133"/>
    </row>
    <row r="355" spans="7:8" ht="12.75">
      <c r="G355" s="133"/>
      <c r="H355" s="133"/>
    </row>
    <row r="356" spans="7:8" ht="12.75">
      <c r="G356" s="133"/>
      <c r="H356" s="133"/>
    </row>
    <row r="357" spans="7:8" ht="12.75">
      <c r="G357" s="133"/>
      <c r="H357" s="133"/>
    </row>
    <row r="358" spans="7:8" ht="12.75">
      <c r="G358" s="133"/>
      <c r="H358" s="133"/>
    </row>
    <row r="359" spans="7:8" ht="12.75">
      <c r="G359" s="133"/>
      <c r="H359" s="133"/>
    </row>
    <row r="360" spans="7:8" ht="12.75">
      <c r="G360" s="133"/>
      <c r="H360" s="133"/>
    </row>
    <row r="361" spans="7:8" ht="12.75">
      <c r="G361" s="133"/>
      <c r="H361" s="133"/>
    </row>
    <row r="362" spans="7:8" ht="12.75">
      <c r="G362" s="133"/>
      <c r="H362" s="133"/>
    </row>
    <row r="363" spans="7:8" ht="12.75">
      <c r="G363" s="133"/>
      <c r="H363" s="133"/>
    </row>
    <row r="364" spans="7:8" ht="12.75">
      <c r="G364" s="133"/>
      <c r="H364" s="133"/>
    </row>
    <row r="365" spans="7:8" ht="12.75">
      <c r="G365" s="133"/>
      <c r="H365" s="133"/>
    </row>
    <row r="366" spans="7:8" ht="12.75">
      <c r="G366" s="133"/>
      <c r="H366" s="133"/>
    </row>
    <row r="367" spans="7:8" ht="12.75">
      <c r="G367" s="133"/>
      <c r="H367" s="133"/>
    </row>
    <row r="368" spans="7:8" ht="12.75">
      <c r="G368" s="133"/>
      <c r="H368" s="133"/>
    </row>
    <row r="369" spans="7:8" ht="12.75">
      <c r="G369" s="133"/>
      <c r="H369" s="133"/>
    </row>
    <row r="370" spans="7:8" ht="12.75">
      <c r="G370" s="133"/>
      <c r="H370" s="133"/>
    </row>
    <row r="371" spans="7:8" ht="12.75">
      <c r="G371" s="133"/>
      <c r="H371" s="133"/>
    </row>
    <row r="372" spans="7:8" ht="12.75">
      <c r="G372" s="133"/>
      <c r="H372" s="133"/>
    </row>
    <row r="373" spans="7:8" ht="12.75">
      <c r="G373" s="133"/>
      <c r="H373" s="133"/>
    </row>
    <row r="374" spans="7:8" ht="12.75">
      <c r="G374" s="133"/>
      <c r="H374" s="133"/>
    </row>
    <row r="375" spans="7:8" ht="12.75">
      <c r="G375" s="133"/>
      <c r="H375" s="133"/>
    </row>
    <row r="376" spans="7:8" ht="12.75">
      <c r="G376" s="133"/>
      <c r="H376" s="133"/>
    </row>
    <row r="377" spans="7:8" ht="12.75">
      <c r="G377" s="133"/>
      <c r="H377" s="133"/>
    </row>
    <row r="378" spans="7:8" ht="12.75">
      <c r="G378" s="133"/>
      <c r="H378" s="133"/>
    </row>
    <row r="379" spans="7:8" ht="12.75">
      <c r="G379" s="133"/>
      <c r="H379" s="133"/>
    </row>
    <row r="380" spans="7:8" ht="12.75">
      <c r="G380" s="133"/>
      <c r="H380" s="133"/>
    </row>
    <row r="381" spans="7:8" ht="12.75">
      <c r="G381" s="133"/>
      <c r="H381" s="133"/>
    </row>
    <row r="382" spans="7:8" ht="12.75">
      <c r="G382" s="133"/>
      <c r="H382" s="133"/>
    </row>
    <row r="383" spans="7:8" ht="12.75">
      <c r="G383" s="133"/>
      <c r="H383" s="133"/>
    </row>
    <row r="384" spans="7:8" ht="12.75">
      <c r="G384" s="133"/>
      <c r="H384" s="133"/>
    </row>
    <row r="385" spans="7:8" ht="12.75">
      <c r="G385" s="133"/>
      <c r="H385" s="133"/>
    </row>
    <row r="386" spans="7:8" ht="12.75">
      <c r="G386" s="133"/>
      <c r="H386" s="133"/>
    </row>
    <row r="387" spans="7:8" ht="12.75">
      <c r="G387" s="133"/>
      <c r="H387" s="133"/>
    </row>
    <row r="388" spans="7:8" ht="12.75">
      <c r="G388" s="133"/>
      <c r="H388" s="133"/>
    </row>
    <row r="389" spans="7:8" ht="12.75">
      <c r="G389" s="133"/>
      <c r="H389" s="133"/>
    </row>
    <row r="390" spans="7:8" ht="12.75">
      <c r="G390" s="133"/>
      <c r="H390" s="133"/>
    </row>
    <row r="391" spans="7:8" ht="12.75">
      <c r="G391" s="133"/>
      <c r="H391" s="133"/>
    </row>
    <row r="392" spans="7:8" ht="12.75">
      <c r="G392" s="133"/>
      <c r="H392" s="133"/>
    </row>
    <row r="393" spans="7:8" ht="12.75">
      <c r="G393" s="133"/>
      <c r="H393" s="133"/>
    </row>
    <row r="394" spans="7:8" ht="12.75">
      <c r="G394" s="133"/>
      <c r="H394" s="133"/>
    </row>
    <row r="395" spans="7:8" ht="12.75">
      <c r="G395" s="133"/>
      <c r="H395" s="133"/>
    </row>
    <row r="396" spans="7:8" ht="12.75">
      <c r="G396" s="133"/>
      <c r="H396" s="133"/>
    </row>
    <row r="397" spans="7:8" ht="12.75">
      <c r="G397" s="133"/>
      <c r="H397" s="133"/>
    </row>
    <row r="398" spans="7:8" ht="12.75">
      <c r="G398" s="133"/>
      <c r="H398" s="133"/>
    </row>
    <row r="399" spans="7:8" ht="12.75">
      <c r="G399" s="133"/>
      <c r="H399" s="133"/>
    </row>
    <row r="400" spans="7:8" ht="12.75">
      <c r="G400" s="133"/>
      <c r="H400" s="133"/>
    </row>
    <row r="401" spans="7:8" ht="12.75">
      <c r="G401" s="133"/>
      <c r="H401" s="133"/>
    </row>
  </sheetData>
  <sheetProtection formatCells="0" formatColumns="0" formatRows="0" insertColumns="0" insertRows="0" insertHyperlinks="0" deleteColumns="0" deleteRows="0"/>
  <mergeCells count="10">
    <mergeCell ref="A1:I1"/>
    <mergeCell ref="A3:A5"/>
    <mergeCell ref="B3:B5"/>
    <mergeCell ref="C3:C5"/>
    <mergeCell ref="D3:D5"/>
    <mergeCell ref="E3:E5"/>
    <mergeCell ref="F3:F5"/>
    <mergeCell ref="G3:G5"/>
    <mergeCell ref="H3:H5"/>
    <mergeCell ref="I3:I5"/>
  </mergeCells>
  <conditionalFormatting sqref="E8:E17">
    <cfRule type="cellIs" priority="1" dxfId="1" operator="lessThan" stopIfTrue="1">
      <formula>0</formula>
    </cfRule>
  </conditionalFormatting>
  <conditionalFormatting sqref="H6:I162">
    <cfRule type="cellIs" priority="2" dxfId="2" operator="lessThan" stopIfTrue="1">
      <formula>0</formula>
    </cfRule>
  </conditionalFormatting>
  <printOptions/>
  <pageMargins left="0.5511811023622047" right="0.15748031496062992" top="0.1968503937007874" bottom="0.1968503937007874" header="0.15748031496062992" footer="0.1968503937007874"/>
  <pageSetup horizontalDpi="600" verticalDpi="600" orientation="landscape" paperSize="9" scale="50" r:id="rId1"/>
  <colBreaks count="1" manualBreakCount="1">
    <brk id="9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1">
      <selection activeCell="E3" sqref="E3"/>
    </sheetView>
  </sheetViews>
  <sheetFormatPr defaultColWidth="9.00390625" defaultRowHeight="12.75"/>
  <cols>
    <col min="5" max="5" width="18.875" style="0" customWidth="1"/>
  </cols>
  <sheetData>
    <row r="1" spans="1:5" ht="15.75">
      <c r="A1" s="4" t="s">
        <v>30</v>
      </c>
      <c r="B1" s="4"/>
      <c r="C1" s="4"/>
      <c r="D1" s="4" t="s">
        <v>28</v>
      </c>
      <c r="E1" s="5">
        <f>'аналіз фінансування '!C156</f>
        <v>2507982.7</v>
      </c>
    </row>
    <row r="2" spans="1:5" ht="15.75">
      <c r="A2" s="4"/>
      <c r="B2" s="4"/>
      <c r="C2" s="4"/>
      <c r="D2" s="4" t="s">
        <v>29</v>
      </c>
      <c r="E2" s="5">
        <f>'аналіз фінансування '!D156</f>
        <v>1593933.7567900002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9" sqref="C39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D33" sqref="D33"/>
    </sheetView>
  </sheetViews>
  <sheetFormatPr defaultColWidth="9.00390625" defaultRowHeight="12.75"/>
  <cols>
    <col min="5" max="5" width="13.375" style="0" customWidth="1"/>
  </cols>
  <sheetData>
    <row r="1" spans="1:5" ht="15.75">
      <c r="A1" s="4" t="s">
        <v>30</v>
      </c>
      <c r="B1" s="4"/>
      <c r="C1" s="4"/>
      <c r="D1" s="4" t="s">
        <v>28</v>
      </c>
      <c r="E1" s="5">
        <f>'аналіз фінансування '!C156</f>
        <v>2507982.7</v>
      </c>
    </row>
    <row r="2" spans="1:5" ht="15.75">
      <c r="A2" s="4"/>
      <c r="B2" s="4"/>
      <c r="C2" s="4"/>
      <c r="D2" s="4" t="s">
        <v>29</v>
      </c>
      <c r="E2" s="5">
        <f>'аналіз фінансування '!D156</f>
        <v>1593933.7567900002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</cp:lastModifiedBy>
  <cp:lastPrinted>2019-09-02T05:24:58Z</cp:lastPrinted>
  <dcterms:created xsi:type="dcterms:W3CDTF">2000-06-20T04:48:00Z</dcterms:created>
  <dcterms:modified xsi:type="dcterms:W3CDTF">2019-09-05T11:27:01Z</dcterms:modified>
  <cp:category/>
  <cp:version/>
  <cp:contentType/>
  <cp:contentStatus/>
</cp:coreProperties>
</file>